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codeName="ThisWorkbook" autoCompressPictures="0"/>
  <bookViews>
    <workbookView xWindow="0" yWindow="0" windowWidth="25600" windowHeight="15740"/>
  </bookViews>
  <sheets>
    <sheet name="Marketing Budget Plan" sheetId="1" r:id="rId1"/>
    <sheet name="Chart1" sheetId="4" r:id="rId2"/>
    <sheet name="Chart2" sheetId="5" r:id="rId3"/>
    <sheet name="Chart3" sheetId="6" r:id="rId4"/>
    <sheet name="Chart4" sheetId="7" r:id="rId5"/>
  </sheets>
  <definedNames>
    <definedName name="FiscalYear">'Marketing Budget Plan'!$P$1</definedName>
    <definedName name="_xlnm.Print_Titles" localSheetId="0">'Marketing Budget Plan'!$6:$6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5" i="1" l="1"/>
  <c r="O45" i="1"/>
  <c r="N31" i="1"/>
  <c r="O31" i="1"/>
  <c r="N30" i="1"/>
  <c r="O30" i="1"/>
  <c r="N32" i="1"/>
  <c r="O32" i="1"/>
  <c r="N39" i="1"/>
  <c r="O39" i="1"/>
  <c r="O43" i="1"/>
  <c r="O44" i="1"/>
  <c r="O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N44" i="1"/>
  <c r="N43" i="1"/>
  <c r="O36" i="1"/>
  <c r="O37" i="1"/>
  <c r="O38" i="1"/>
  <c r="O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38" i="1"/>
  <c r="N37" i="1"/>
  <c r="N36" i="1"/>
  <c r="N27" i="1"/>
  <c r="O27" i="1"/>
  <c r="N28" i="1"/>
  <c r="O28" i="1"/>
  <c r="N29" i="1"/>
  <c r="O29" i="1"/>
  <c r="N50" i="1"/>
  <c r="N51" i="1"/>
  <c r="N52" i="1"/>
  <c r="N49" i="1"/>
  <c r="N24" i="1"/>
  <c r="N25" i="1"/>
  <c r="N26" i="1"/>
  <c r="N23" i="1"/>
  <c r="N19" i="1"/>
  <c r="N18" i="1"/>
  <c r="N12" i="1"/>
  <c r="N13" i="1"/>
  <c r="N14" i="1"/>
  <c r="N11" i="1"/>
  <c r="O49" i="1"/>
  <c r="O50" i="1"/>
  <c r="O51" i="1"/>
  <c r="O52" i="1"/>
  <c r="O23" i="1"/>
  <c r="O24" i="1"/>
  <c r="O25" i="1"/>
  <c r="O26" i="1"/>
  <c r="O18" i="1"/>
  <c r="O19" i="1"/>
  <c r="O11" i="1"/>
  <c r="O12" i="1"/>
  <c r="O13" i="1"/>
  <c r="O14" i="1"/>
  <c r="O20" i="1"/>
  <c r="O33" i="1"/>
  <c r="O15" i="1"/>
  <c r="O53" i="1"/>
  <c r="M53" i="1"/>
  <c r="L53" i="1"/>
  <c r="K53" i="1"/>
  <c r="J53" i="1"/>
  <c r="I53" i="1"/>
  <c r="H53" i="1"/>
  <c r="G53" i="1"/>
  <c r="F53" i="1"/>
  <c r="E53" i="1"/>
  <c r="D53" i="1"/>
  <c r="C53" i="1"/>
  <c r="B53" i="1"/>
  <c r="M33" i="1"/>
  <c r="L33" i="1"/>
  <c r="K33" i="1"/>
  <c r="J33" i="1"/>
  <c r="I33" i="1"/>
  <c r="H33" i="1"/>
  <c r="G33" i="1"/>
  <c r="F33" i="1"/>
  <c r="E33" i="1"/>
  <c r="D33" i="1"/>
  <c r="C33" i="1"/>
  <c r="B33" i="1"/>
  <c r="M20" i="1"/>
  <c r="L20" i="1"/>
  <c r="K20" i="1"/>
  <c r="J20" i="1"/>
  <c r="I20" i="1"/>
  <c r="H20" i="1"/>
  <c r="G20" i="1"/>
  <c r="F20" i="1"/>
  <c r="E20" i="1"/>
  <c r="D20" i="1"/>
  <c r="C20" i="1"/>
  <c r="B20" i="1"/>
  <c r="N33" i="1"/>
  <c r="N53" i="1"/>
  <c r="N20" i="1"/>
  <c r="C15" i="1"/>
  <c r="C8" i="1"/>
  <c r="D15" i="1"/>
  <c r="D8" i="1"/>
  <c r="E15" i="1"/>
  <c r="E8" i="1"/>
  <c r="F15" i="1"/>
  <c r="F8" i="1"/>
  <c r="G15" i="1"/>
  <c r="G8" i="1"/>
  <c r="H15" i="1"/>
  <c r="H8" i="1"/>
  <c r="I15" i="1"/>
  <c r="I8" i="1"/>
  <c r="J15" i="1"/>
  <c r="J8" i="1"/>
  <c r="K15" i="1"/>
  <c r="K8" i="1"/>
  <c r="L15" i="1"/>
  <c r="L8" i="1"/>
  <c r="M15" i="1"/>
  <c r="M8" i="1"/>
  <c r="B15" i="1"/>
  <c r="B8" i="1"/>
  <c r="B6" i="1"/>
  <c r="C6" i="1"/>
  <c r="D6" i="1"/>
  <c r="E6" i="1"/>
  <c r="F6" i="1"/>
  <c r="G6" i="1"/>
  <c r="H6" i="1"/>
  <c r="I6" i="1"/>
  <c r="J6" i="1"/>
  <c r="K6" i="1"/>
  <c r="L6" i="1"/>
  <c r="M6" i="1"/>
  <c r="O8" i="1"/>
  <c r="N8" i="1"/>
  <c r="N15" i="1"/>
</calcChain>
</file>

<file path=xl/sharedStrings.xml><?xml version="1.0" encoding="utf-8"?>
<sst xmlns="http://schemas.openxmlformats.org/spreadsheetml/2006/main" count="52" uniqueCount="48">
  <si>
    <t>Overview</t>
  </si>
  <si>
    <t>Fiscal Year
Begins:</t>
  </si>
  <si>
    <t>Monthly
Average</t>
  </si>
  <si>
    <t>Marketing Budget</t>
  </si>
  <si>
    <t>Salaries, wages</t>
  </si>
  <si>
    <t>Benefits</t>
  </si>
  <si>
    <t>Payroll taxes</t>
  </si>
  <si>
    <t>Commissions and bonuses</t>
  </si>
  <si>
    <t>Personnel Total</t>
  </si>
  <si>
    <t>Personnel</t>
  </si>
  <si>
    <t>Market Research Total</t>
  </si>
  <si>
    <t>Branding</t>
  </si>
  <si>
    <t>Other</t>
  </si>
  <si>
    <t>Postage</t>
  </si>
  <si>
    <t>Travel</t>
  </si>
  <si>
    <t>Phone</t>
  </si>
  <si>
    <t>Other Total</t>
  </si>
  <si>
    <t>Total</t>
  </si>
  <si>
    <t>Computer/Office Equipment</t>
  </si>
  <si>
    <t>Budget Total</t>
  </si>
  <si>
    <t xml:space="preserve">DrMarketingTips </t>
  </si>
  <si>
    <t xml:space="preserve">1969 Alafaya Trail </t>
  </si>
  <si>
    <t>Orlando, FL 32828</t>
  </si>
  <si>
    <t xml:space="preserve">Patient Satisfaction </t>
  </si>
  <si>
    <t>Press Gainey Surveys</t>
  </si>
  <si>
    <t>Patient Surveys (something like Survey Monkey)</t>
  </si>
  <si>
    <t>Promotional Products</t>
  </si>
  <si>
    <t>Google Adwords</t>
  </si>
  <si>
    <t>Advertising/Communications</t>
  </si>
  <si>
    <t>Print Advertising</t>
  </si>
  <si>
    <t>Social Media</t>
  </si>
  <si>
    <t>Content Creation</t>
  </si>
  <si>
    <t>Events (health fairs, seminars, luncheons)</t>
  </si>
  <si>
    <t xml:space="preserve">Website </t>
  </si>
  <si>
    <t>Website</t>
  </si>
  <si>
    <t>New Website Design (WordPress CME)</t>
  </si>
  <si>
    <t>Occassional technical upgrades</t>
  </si>
  <si>
    <t>-</t>
  </si>
  <si>
    <t>Hosting</t>
  </si>
  <si>
    <t>Employees</t>
  </si>
  <si>
    <t>Training</t>
  </si>
  <si>
    <t>Employee Appreciation Day</t>
  </si>
  <si>
    <t>Licensed educational content</t>
  </si>
  <si>
    <t>Printing (brochures, flyers, posters, etc.)</t>
  </si>
  <si>
    <t>Graphic Design</t>
  </si>
  <si>
    <t>Printed Newsletter</t>
  </si>
  <si>
    <t>Full DrMarketingTips Annual Subscription</t>
  </si>
  <si>
    <t>Employee Training &amp; Recognition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</si>
</sst>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8" x14ac:knownFonts="1">
    <font>
      <sz val="12"/>
      <color theme="1" tint="0.24994659260841701"/>
      <name val="News Gothic MT"/>
      <family val="2"/>
      <scheme val="minor"/>
    </font>
    <font>
      <sz val="12"/>
      <color theme="1"/>
      <name val="News Gothic MT"/>
      <family val="2"/>
      <scheme val="minor"/>
    </font>
    <font>
      <sz val="12"/>
      <color theme="1"/>
      <name val="News Gothic MT"/>
      <family val="2"/>
      <scheme val="minor"/>
    </font>
    <font>
      <sz val="12"/>
      <color theme="1"/>
      <name val="News Gothic MT"/>
      <family val="2"/>
      <scheme val="minor"/>
    </font>
    <font>
      <sz val="12"/>
      <color theme="1"/>
      <name val="News Gothic MT"/>
      <family val="2"/>
      <scheme val="minor"/>
    </font>
    <font>
      <b/>
      <sz val="12"/>
      <color theme="1"/>
      <name val="News Gothic MT"/>
      <family val="2"/>
      <scheme val="minor"/>
    </font>
    <font>
      <b/>
      <sz val="12"/>
      <color theme="1"/>
      <name val="News Gothic MT"/>
      <family val="2"/>
      <scheme val="major"/>
    </font>
    <font>
      <sz val="12"/>
      <color theme="0"/>
      <name val="News Gothic MT"/>
      <family val="2"/>
      <scheme val="minor"/>
    </font>
    <font>
      <b/>
      <sz val="12"/>
      <color theme="1" tint="0.24994659260841701"/>
      <name val="News Gothic MT"/>
      <family val="2"/>
      <scheme val="minor"/>
    </font>
    <font>
      <sz val="11"/>
      <color theme="0"/>
      <name val="News Gothic MT"/>
      <family val="2"/>
      <scheme val="minor"/>
    </font>
    <font>
      <b/>
      <sz val="22"/>
      <color theme="4" tint="-0.24994659260841701"/>
      <name val="News Gothic MT"/>
      <family val="2"/>
      <scheme val="major"/>
    </font>
    <font>
      <b/>
      <sz val="14"/>
      <color theme="4" tint="-0.24994659260841701"/>
      <name val="News Gothic MT"/>
      <family val="2"/>
      <scheme val="minor"/>
    </font>
    <font>
      <b/>
      <sz val="11"/>
      <color theme="1" tint="0.34998626667073579"/>
      <name val="News Gothic MT"/>
      <family val="2"/>
      <scheme val="minor"/>
    </font>
    <font>
      <u/>
      <sz val="12"/>
      <color theme="10"/>
      <name val="News Gothic MT"/>
      <family val="2"/>
      <scheme val="minor"/>
    </font>
    <font>
      <u/>
      <sz val="12"/>
      <color theme="11"/>
      <name val="News Gothic MT"/>
      <family val="2"/>
      <scheme val="minor"/>
    </font>
    <font>
      <b/>
      <sz val="22"/>
      <color theme="6" tint="-0.249977111117893"/>
      <name val="News Gothic MT"/>
      <scheme val="major"/>
    </font>
    <font>
      <b/>
      <sz val="14"/>
      <color theme="6" tint="-0.499984740745262"/>
      <name val="News Gothic MT"/>
      <scheme val="minor"/>
    </font>
    <font>
      <b/>
      <sz val="14"/>
      <color theme="6"/>
      <name val="News Gothic MT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ck">
        <color theme="6"/>
      </bottom>
      <diagonal/>
    </border>
  </borders>
  <cellStyleXfs count="14">
    <xf numFmtId="0" fontId="0" fillId="0" borderId="0"/>
    <xf numFmtId="0" fontId="10" fillId="0" borderId="1" applyNumberFormat="0" applyFill="0" applyAlignment="0" applyProtection="0"/>
    <xf numFmtId="0" fontId="8" fillId="5" borderId="2" applyNumberFormat="0" applyProtection="0">
      <alignment horizontal="right"/>
    </xf>
    <xf numFmtId="0" fontId="11" fillId="0" borderId="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11" fillId="0" borderId="1" xfId="3"/>
    <xf numFmtId="0" fontId="10" fillId="0" borderId="1" xfId="1" applyFill="1" applyAlignment="1"/>
    <xf numFmtId="0" fontId="10" fillId="0" borderId="1" xfId="1" applyFill="1"/>
    <xf numFmtId="0" fontId="8" fillId="5" borderId="2" xfId="2">
      <alignment horizontal="right"/>
    </xf>
    <xf numFmtId="17" fontId="8" fillId="5" borderId="2" xfId="2" applyNumberFormat="1">
      <alignment horizontal="right"/>
    </xf>
    <xf numFmtId="164" fontId="8" fillId="5" borderId="2" xfId="2" applyNumberFormat="1" applyAlignment="1">
      <alignment horizontal="right" wrapText="1"/>
    </xf>
    <xf numFmtId="164" fontId="8" fillId="5" borderId="2" xfId="2" applyNumberFormat="1" applyAlignment="1">
      <alignment horizont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9" fillId="4" borderId="0" xfId="7" applyBorder="1" applyAlignment="1">
      <alignment horizontal="left" vertical="center"/>
    </xf>
    <xf numFmtId="0" fontId="9" fillId="4" borderId="0" xfId="7" applyBorder="1"/>
    <xf numFmtId="0" fontId="9" fillId="4" borderId="0" xfId="7" applyBorder="1" applyAlignment="1">
      <alignment vertical="center"/>
    </xf>
    <xf numFmtId="37" fontId="12" fillId="0" borderId="1" xfId="6" applyNumberFormat="1" applyBorder="1"/>
    <xf numFmtId="1" fontId="12" fillId="0" borderId="1" xfId="6" applyNumberFormat="1" applyBorder="1"/>
    <xf numFmtId="0" fontId="3" fillId="0" borderId="0" xfId="0" applyFont="1" applyFill="1" applyBorder="1"/>
    <xf numFmtId="0" fontId="15" fillId="0" borderId="1" xfId="1" applyFont="1" applyFill="1" applyAlignment="1"/>
    <xf numFmtId="0" fontId="16" fillId="0" borderId="1" xfId="3" applyFont="1"/>
    <xf numFmtId="0" fontId="17" fillId="0" borderId="1" xfId="3" applyFont="1" applyFill="1" applyAlignment="1">
      <alignment horizontal="right" vertical="center" wrapText="1"/>
    </xf>
    <xf numFmtId="17" fontId="17" fillId="0" borderId="1" xfId="3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9" fillId="4" borderId="0" xfId="7" applyBorder="1" applyAlignment="1">
      <alignment horizontal="left" vertical="center"/>
    </xf>
    <xf numFmtId="0" fontId="9" fillId="4" borderId="0" xfId="7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</cellXfs>
  <cellStyles count="14">
    <cellStyle name="60% - Accent1" xfId="4" builtinId="32" customBuiltin="1"/>
    <cellStyle name="60% - Accent3" xfId="7" builtinId="40"/>
    <cellStyle name="60% - Accent5" xfId="5" builtinId="48" customBuiltin="1"/>
    <cellStyle name="Followed Hyperlink" xfId="9" builtinId="9" hidden="1"/>
    <cellStyle name="Followed Hyperlink" xfId="11" builtinId="9" hidden="1"/>
    <cellStyle name="Followed Hyperlink" xfId="13" builtinId="9" hidden="1"/>
    <cellStyle name="Heading 2" xfId="2" builtinId="17" customBuiltin="1"/>
    <cellStyle name="Heading 3" xfId="3" builtinId="18" customBuiltin="1"/>
    <cellStyle name="Heading 4" xfId="6" builtinId="19" customBuiltin="1"/>
    <cellStyle name="Hyperlink" xfId="8" builtinId="8" hidden="1"/>
    <cellStyle name="Hyperlink" xfId="10" builtinId="8" hidden="1"/>
    <cellStyle name="Hyperlink" xfId="12" builtinId="8" hidden="1"/>
    <cellStyle name="Normal" xfId="0" builtinId="0" customBuiltin="1"/>
    <cellStyle name="Title" xfId="1" builtinId="15" customBuiltin="1"/>
  </cellStyles>
  <dxfs count="2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theme="6" tint="-0.499984740745262"/>
        <name val="News Gothic MT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ews Gothic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auto="1"/>
          <bgColor auto="1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/>
        <bottom/>
        <vertical/>
        <horizontal style="thin">
          <color theme="0"/>
        </horizontal>
      </border>
    </dxf>
    <dxf>
      <fill>
        <patternFill patternType="solid">
          <fgColor theme="6" tint="0.39994506668294322"/>
          <bgColor theme="6" tint="0.39994506668294322"/>
        </patternFill>
      </fill>
    </dxf>
    <dxf>
      <fill>
        <patternFill patternType="solid">
          <fgColor theme="6" tint="0.39994506668294322"/>
          <bgColor theme="6" tint="0.39994506668294322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6" tint="0.59996337778862885"/>
          <bgColor theme="6" tint="0.59996337778862885"/>
        </patternFill>
      </fill>
      <border diagonalUp="0" diagonalDown="0">
        <left/>
        <right/>
        <top/>
        <bottom/>
        <vertical/>
        <horizontal style="thin">
          <color theme="0"/>
        </horizontal>
      </border>
    </dxf>
  </dxfs>
  <tableStyles count="2" defaultTableStyle="TableStyleMedium2" defaultPivotStyle="PivotStyleLight16">
    <tableStyle name="Marketing Tables" pivot="0" count="5">
      <tableStyleElement type="wholeTable" dxfId="250"/>
      <tableStyleElement type="headerRow" dxfId="249"/>
      <tableStyleElement type="totalRow" dxfId="248"/>
      <tableStyleElement type="firstRowStripe" dxfId="247"/>
      <tableStyleElement type="firstColumnStripe" dxfId="246"/>
    </tableStyle>
    <tableStyle name="Marketing Tables Light" pivot="0" count="4">
      <tableStyleElement type="wholeTable" dxfId="245"/>
      <tableStyleElement type="headerRow" dxfId="244"/>
      <tableStyleElement type="totalRow" dxfId="243"/>
      <tableStyleElement type="firstRowStripe" dxfId="24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Plan'!$A$11</c:f>
              <c:strCache>
                <c:ptCount val="1"/>
                <c:pt idx="0">
                  <c:v>Salaries, wages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Plan'!$B$11:$M$11</c:f>
              <c:numCache>
                <c:formatCode>#,##0_);[Red]\(#,##0\)</c:formatCode>
                <c:ptCount val="12"/>
                <c:pt idx="0">
                  <c:v>521.0</c:v>
                </c:pt>
                <c:pt idx="1">
                  <c:v>323.0</c:v>
                </c:pt>
                <c:pt idx="2">
                  <c:v>274.0</c:v>
                </c:pt>
                <c:pt idx="3">
                  <c:v>451.0</c:v>
                </c:pt>
                <c:pt idx="4">
                  <c:v>104.0</c:v>
                </c:pt>
              </c:numCache>
            </c:numRef>
          </c:val>
        </c:ser>
        <c:ser>
          <c:idx val="1"/>
          <c:order val="1"/>
          <c:tx>
            <c:strRef>
              <c:f>'Marketing Budget Plan'!$A$12</c:f>
              <c:strCache>
                <c:ptCount val="1"/>
                <c:pt idx="0">
                  <c:v>Benefits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Plan'!$B$12:$M$12</c:f>
              <c:numCache>
                <c:formatCode>#,##0_);[Red]\(#,##0\)</c:formatCode>
                <c:ptCount val="12"/>
                <c:pt idx="0">
                  <c:v>10572.0</c:v>
                </c:pt>
                <c:pt idx="1">
                  <c:v>14514.0</c:v>
                </c:pt>
                <c:pt idx="2">
                  <c:v>10561.0</c:v>
                </c:pt>
                <c:pt idx="3">
                  <c:v>13170.0</c:v>
                </c:pt>
                <c:pt idx="4">
                  <c:v>12478.0</c:v>
                </c:pt>
              </c:numCache>
            </c:numRef>
          </c:val>
        </c:ser>
        <c:ser>
          <c:idx val="2"/>
          <c:order val="2"/>
          <c:tx>
            <c:strRef>
              <c:f>'Marketing Budget Plan'!$A$13</c:f>
              <c:strCache>
                <c:ptCount val="1"/>
                <c:pt idx="0">
                  <c:v>Payroll taxes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Plan'!$B$13:$M$13</c:f>
              <c:numCache>
                <c:formatCode>#,##0_);[Red]\(#,##0\)</c:formatCode>
                <c:ptCount val="12"/>
                <c:pt idx="0">
                  <c:v>250.0</c:v>
                </c:pt>
                <c:pt idx="1">
                  <c:v>428.0</c:v>
                </c:pt>
                <c:pt idx="2">
                  <c:v>165.0</c:v>
                </c:pt>
                <c:pt idx="3">
                  <c:v>1168.0</c:v>
                </c:pt>
                <c:pt idx="4">
                  <c:v>345.0</c:v>
                </c:pt>
              </c:numCache>
            </c:numRef>
          </c:val>
        </c:ser>
        <c:ser>
          <c:idx val="3"/>
          <c:order val="3"/>
          <c:tx>
            <c:strRef>
              <c:f>'Marketing Budget Plan'!$A$14</c:f>
              <c:strCache>
                <c:ptCount val="1"/>
                <c:pt idx="0">
                  <c:v>Commissions and bonuses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Plan'!$B$14:$M$14</c:f>
              <c:numCache>
                <c:formatCode>#,##0_);[Red]\(#,##0\)</c:formatCode>
                <c:ptCount val="12"/>
                <c:pt idx="0">
                  <c:v>0.0</c:v>
                </c:pt>
                <c:pt idx="1">
                  <c:v>2200.0</c:v>
                </c:pt>
                <c:pt idx="2">
                  <c:v>163.0</c:v>
                </c:pt>
                <c:pt idx="3">
                  <c:v>67.0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0966600"/>
        <c:axId val="2140961208"/>
      </c:barChart>
      <c:dateAx>
        <c:axId val="2140966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140961208"/>
        <c:crosses val="autoZero"/>
        <c:auto val="1"/>
        <c:lblOffset val="100"/>
        <c:baseTimeUnit val="months"/>
      </c:dateAx>
      <c:valAx>
        <c:axId val="21409612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140966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Plan'!$A$18</c:f>
              <c:strCache>
                <c:ptCount val="1"/>
                <c:pt idx="0">
                  <c:v>Press Gainey Surveys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Plan'!$B$18:$M$18</c:f>
              <c:numCache>
                <c:formatCode>#,##0_);[Red]\(#,##0\)</c:formatCode>
                <c:ptCount val="12"/>
                <c:pt idx="0">
                  <c:v>400.0</c:v>
                </c:pt>
                <c:pt idx="1">
                  <c:v>400.0</c:v>
                </c:pt>
                <c:pt idx="2">
                  <c:v>400.0</c:v>
                </c:pt>
                <c:pt idx="3">
                  <c:v>400.0</c:v>
                </c:pt>
                <c:pt idx="4">
                  <c:v>400.0</c:v>
                </c:pt>
              </c:numCache>
            </c:numRef>
          </c:val>
        </c:ser>
        <c:ser>
          <c:idx val="1"/>
          <c:order val="1"/>
          <c:tx>
            <c:strRef>
              <c:f>'Marketing Budget Plan'!$A$19</c:f>
              <c:strCache>
                <c:ptCount val="1"/>
                <c:pt idx="0">
                  <c:v>Patient Surveys (something like Survey Monkey)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Plan'!$B$19:$M$19</c:f>
              <c:numCache>
                <c:formatCode>#,##0_);[Red]\(#,##0\)</c:formatCode>
                <c:ptCount val="12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</c:numCache>
            </c:numRef>
          </c:val>
        </c:ser>
        <c:ser>
          <c:idx val="2"/>
          <c:order val="2"/>
          <c:tx>
            <c:strRef>
              <c:f>'Marketing Budget Plan'!#REF!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0793992"/>
        <c:axId val="2140778888"/>
      </c:barChart>
      <c:dateAx>
        <c:axId val="21407939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140778888"/>
        <c:crosses val="autoZero"/>
        <c:auto val="1"/>
        <c:lblOffset val="100"/>
        <c:baseTimeUnit val="months"/>
      </c:dateAx>
      <c:valAx>
        <c:axId val="21407788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1407939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Plan'!$A$23</c:f>
              <c:strCache>
                <c:ptCount val="1"/>
                <c:pt idx="0">
                  <c:v>Branding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Plan'!$B$23:$M$23</c:f>
              <c:numCache>
                <c:formatCode>#,##0_);[Red]\(#,##0\)</c:formatCode>
                <c:ptCount val="12"/>
                <c:pt idx="0">
                  <c:v>500.0</c:v>
                </c:pt>
                <c:pt idx="1">
                  <c:v>500.0</c:v>
                </c:pt>
                <c:pt idx="2">
                  <c:v>500.0</c:v>
                </c:pt>
                <c:pt idx="3">
                  <c:v>500.0</c:v>
                </c:pt>
                <c:pt idx="4">
                  <c:v>500.0</c:v>
                </c:pt>
              </c:numCache>
            </c:numRef>
          </c:val>
        </c:ser>
        <c:ser>
          <c:idx val="1"/>
          <c:order val="1"/>
          <c:tx>
            <c:strRef>
              <c:f>'Marketing Budget Plan'!$A$24</c:f>
              <c:strCache>
                <c:ptCount val="1"/>
                <c:pt idx="0">
                  <c:v>Promotional Products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Plan'!$B$24:$M$24</c:f>
              <c:numCache>
                <c:formatCode>#,##0_);[Red]\(#,##0\)</c:formatCode>
                <c:ptCount val="12"/>
                <c:pt idx="0">
                  <c:v>300.0</c:v>
                </c:pt>
                <c:pt idx="1">
                  <c:v>300.0</c:v>
                </c:pt>
                <c:pt idx="2">
                  <c:v>300.0</c:v>
                </c:pt>
                <c:pt idx="3">
                  <c:v>300.0</c:v>
                </c:pt>
                <c:pt idx="4">
                  <c:v>300.0</c:v>
                </c:pt>
              </c:numCache>
            </c:numRef>
          </c:val>
        </c:ser>
        <c:ser>
          <c:idx val="2"/>
          <c:order val="2"/>
          <c:tx>
            <c:strRef>
              <c:f>'Marketing Budget Plan'!$A$25</c:f>
              <c:strCache>
                <c:ptCount val="1"/>
                <c:pt idx="0">
                  <c:v>Print Advertising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Plan'!$B$25:$M$25</c:f>
              <c:numCache>
                <c:formatCode>#,##0_);[Red]\(#,##0\)</c:formatCode>
                <c:ptCount val="12"/>
              </c:numCache>
            </c:numRef>
          </c:val>
        </c:ser>
        <c:ser>
          <c:idx val="3"/>
          <c:order val="3"/>
          <c:tx>
            <c:strRef>
              <c:f>'Marketing Budget Plan'!$A$26</c:f>
              <c:strCache>
                <c:ptCount val="1"/>
                <c:pt idx="0">
                  <c:v>Google Adwords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Plan'!$B$26:$M$26</c:f>
              <c:numCache>
                <c:formatCode>#,##0_);[Red]\(#,##0\)</c:formatCode>
                <c:ptCount val="12"/>
                <c:pt idx="0">
                  <c:v>800.0</c:v>
                </c:pt>
                <c:pt idx="1">
                  <c:v>800.0</c:v>
                </c:pt>
                <c:pt idx="2">
                  <c:v>800.0</c:v>
                </c:pt>
                <c:pt idx="3">
                  <c:v>800.0</c:v>
                </c:pt>
                <c:pt idx="4">
                  <c:v>800.0</c:v>
                </c:pt>
              </c:numCache>
            </c:numRef>
          </c:val>
        </c:ser>
        <c:ser>
          <c:idx val="4"/>
          <c:order val="4"/>
          <c:tx>
            <c:strRef>
              <c:f>'Marketing Budget Plan'!#REF!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0661064"/>
        <c:axId val="2140430296"/>
      </c:barChart>
      <c:dateAx>
        <c:axId val="2140661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140430296"/>
        <c:crosses val="autoZero"/>
        <c:auto val="1"/>
        <c:lblOffset val="100"/>
        <c:baseTimeUnit val="months"/>
      </c:dateAx>
      <c:valAx>
        <c:axId val="21404302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140661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Plan'!$A$49</c:f>
              <c:strCache>
                <c:ptCount val="1"/>
                <c:pt idx="0">
                  <c:v>Postage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Plan'!$B$49:$M$49</c:f>
              <c:numCache>
                <c:formatCode>#,##0_);[Red]\(#,##0\)</c:formatCode>
                <c:ptCount val="12"/>
                <c:pt idx="0">
                  <c:v>521.0</c:v>
                </c:pt>
                <c:pt idx="1">
                  <c:v>323.0</c:v>
                </c:pt>
                <c:pt idx="2">
                  <c:v>274.0</c:v>
                </c:pt>
                <c:pt idx="3">
                  <c:v>451.0</c:v>
                </c:pt>
                <c:pt idx="4">
                  <c:v>104.0</c:v>
                </c:pt>
              </c:numCache>
            </c:numRef>
          </c:val>
        </c:ser>
        <c:ser>
          <c:idx val="1"/>
          <c:order val="1"/>
          <c:tx>
            <c:strRef>
              <c:f>'Marketing Budget Plan'!$A$50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Plan'!$B$50:$M$50</c:f>
              <c:numCache>
                <c:formatCode>#,##0_);[Red]\(#,##0\)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'Marketing Budget Plan'!$A$51</c:f>
              <c:strCache>
                <c:ptCount val="1"/>
                <c:pt idx="0">
                  <c:v>Phone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Plan'!$B$51:$M$51</c:f>
              <c:numCache>
                <c:formatCode>#,##0_);[Red]\(#,##0\)</c:formatCode>
                <c:ptCount val="12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'Marketing Budget Plan'!$A$52</c:f>
              <c:strCache>
                <c:ptCount val="1"/>
                <c:pt idx="0">
                  <c:v>Computer/Office Equipment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41654.0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  <c:pt idx="8">
                  <c:v>41883.0</c:v>
                </c:pt>
                <c:pt idx="9">
                  <c:v>41913.0</c:v>
                </c:pt>
                <c:pt idx="10">
                  <c:v>41944.0</c:v>
                </c:pt>
                <c:pt idx="11">
                  <c:v>41974.0</c:v>
                </c:pt>
              </c:numCache>
            </c:numRef>
          </c:cat>
          <c:val>
            <c:numRef>
              <c:f>'Marketing Budget Plan'!$B$52:$M$52</c:f>
              <c:numCache>
                <c:formatCode>#,##0_);[Red]\(#,##0\)</c:formatCode>
                <c:ptCount val="12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0473080"/>
        <c:axId val="2140476264"/>
      </c:barChart>
      <c:dateAx>
        <c:axId val="21404730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140476264"/>
        <c:crosses val="autoZero"/>
        <c:auto val="1"/>
        <c:lblOffset val="100"/>
        <c:baseTimeUnit val="months"/>
      </c:dateAx>
      <c:valAx>
        <c:axId val="214047626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1404730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12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zoomScale="12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zoomScale="12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4" name="Personnel" displayName="Personnel" ref="A11:P15" headerRowCount="0" totalsRowCount="1">
  <tableColumns count="16">
    <tableColumn id="1" name="Description" totalsRowLabel="Personnel Total" headerRowDxfId="241" totalsRowDxfId="240"/>
    <tableColumn id="3" name="Column1" totalsRowFunction="sum" headerRowDxfId="239" totalsRowDxfId="238"/>
    <tableColumn id="4" name="Column2" totalsRowFunction="sum" headerRowDxfId="237" totalsRowDxfId="236"/>
    <tableColumn id="5" name="Column3" totalsRowFunction="sum" headerRowDxfId="235" totalsRowDxfId="234"/>
    <tableColumn id="6" name="Column4" totalsRowFunction="sum" headerRowDxfId="233" totalsRowDxfId="232"/>
    <tableColumn id="7" name="Column5" totalsRowFunction="sum" headerRowDxfId="231" totalsRowDxfId="230"/>
    <tableColumn id="8" name="Column6" totalsRowFunction="sum" headerRowDxfId="229" totalsRowDxfId="228"/>
    <tableColumn id="9" name="Column7" totalsRowFunction="sum" headerRowDxfId="227" totalsRowDxfId="226"/>
    <tableColumn id="10" name="Column8" totalsRowFunction="sum" headerRowDxfId="225" totalsRowDxfId="224"/>
    <tableColumn id="11" name="Column9" totalsRowFunction="sum" headerRowDxfId="223" totalsRowDxfId="222"/>
    <tableColumn id="12" name="Column10" totalsRowFunction="sum" headerRowDxfId="221" totalsRowDxfId="220"/>
    <tableColumn id="13" name="Column11" totalsRowFunction="sum" headerRowDxfId="219" totalsRowDxfId="218"/>
    <tableColumn id="14" name="Column12" totalsRowFunction="sum" headerRowDxfId="217" totalsRowDxfId="216"/>
    <tableColumn id="15" name="Average" totalsRowFunction="custom" headerRowDxfId="215" totalsRowDxfId="214">
      <calculatedColumnFormula>IFERROR(AVERAGE(Personnel[[#This Row],[Column1]:[Column12]]),"")</calculatedColumnFormula>
      <totalsRowFormula>IFERROR(AVERAGE(Personnel[[#Totals],[Column1]:[Column12]]),"")</totalsRowFormula>
    </tableColumn>
    <tableColumn id="2" name="Total" totalsRowFunction="sum" headerRowDxfId="213" dataDxfId="212" totalsRowDxfId="211">
      <calculatedColumnFormula>SUM(Personnel[[#This Row],[Column1]:[Column12]])</calculatedColumnFormula>
    </tableColumn>
    <tableColumn id="16" name="Overview" headerRowDxfId="210" totalsRowDxfId="209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id="2" name="MarketResearch" displayName="MarketResearch" ref="A18:P20" headerRowCount="0" totalsRowCount="1">
  <tableColumns count="16">
    <tableColumn id="1" name="Description" totalsRowLabel="Market Research Total" headerRowDxfId="208" totalsRowDxfId="207"/>
    <tableColumn id="3" name="Column1" totalsRowFunction="sum" headerRowDxfId="206" totalsRowDxfId="205"/>
    <tableColumn id="4" name="Column2" totalsRowFunction="sum" headerRowDxfId="204" totalsRowDxfId="203"/>
    <tableColumn id="5" name="Column3" totalsRowFunction="sum" headerRowDxfId="202" totalsRowDxfId="201"/>
    <tableColumn id="6" name="Column4" totalsRowFunction="sum" headerRowDxfId="200" totalsRowDxfId="199"/>
    <tableColumn id="7" name="Column5" totalsRowFunction="sum" headerRowDxfId="198" totalsRowDxfId="197"/>
    <tableColumn id="8" name="Column6" totalsRowFunction="sum" headerRowDxfId="196" totalsRowDxfId="195"/>
    <tableColumn id="9" name="Column7" totalsRowFunction="sum" headerRowDxfId="194" totalsRowDxfId="193"/>
    <tableColumn id="10" name="Column8" totalsRowFunction="sum" headerRowDxfId="192" totalsRowDxfId="191"/>
    <tableColumn id="11" name="Column9" totalsRowFunction="sum" headerRowDxfId="190" totalsRowDxfId="189"/>
    <tableColumn id="12" name="Column10" totalsRowFunction="sum" headerRowDxfId="188" totalsRowDxfId="187"/>
    <tableColumn id="13" name="Column11" totalsRowFunction="sum" headerRowDxfId="186" totalsRowDxfId="185"/>
    <tableColumn id="14" name="Column12" totalsRowFunction="sum" headerRowDxfId="184" totalsRowDxfId="183"/>
    <tableColumn id="15" name="Average" totalsRowFunction="custom" headerRowDxfId="182" totalsRowDxfId="181">
      <calculatedColumnFormula>IFERROR(AVERAGE(MarketResearch[[#This Row],[Column1]:[Column12]]),"")</calculatedColumnFormula>
      <totalsRowFormula>IFERROR(AVERAGE(MarketResearch[[#Totals],[Column1]:[Column12]]),"")</totalsRowFormula>
    </tableColumn>
    <tableColumn id="2" name="Total" totalsRowFunction="sum" headerRowDxfId="180" dataDxfId="179" totalsRowDxfId="178">
      <calculatedColumnFormula>SUM(MarketResearch[[#This Row],[Column1]:[Column12]])</calculatedColumnFormula>
    </tableColumn>
    <tableColumn id="16" name="Overview" headerRowDxfId="177" totalsRowDxfId="176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5" name="Communications" displayName="Communications" ref="A23:P33" headerRowCount="0" totalsRowCount="1">
  <tableColumns count="16">
    <tableColumn id="1" name="Description" totalsRowLabel="Advertising/Communications" headerRowDxfId="175" dataDxfId="174" totalsRowDxfId="173"/>
    <tableColumn id="3" name="Column1" totalsRowFunction="sum" headerRowDxfId="172" totalsRowDxfId="171"/>
    <tableColumn id="4" name="Column2" totalsRowFunction="sum" headerRowDxfId="170" totalsRowDxfId="169"/>
    <tableColumn id="5" name="Column3" totalsRowFunction="sum" headerRowDxfId="168" totalsRowDxfId="167"/>
    <tableColumn id="6" name="Column4" totalsRowFunction="sum" headerRowDxfId="166" totalsRowDxfId="165"/>
    <tableColumn id="7" name="Column5" totalsRowFunction="sum" headerRowDxfId="164" totalsRowDxfId="163"/>
    <tableColumn id="8" name="Column6" totalsRowFunction="sum" headerRowDxfId="162" totalsRowDxfId="161"/>
    <tableColumn id="9" name="Column7" totalsRowFunction="sum" headerRowDxfId="160" totalsRowDxfId="159"/>
    <tableColumn id="10" name="Column8" totalsRowFunction="sum" headerRowDxfId="158" totalsRowDxfId="157"/>
    <tableColumn id="11" name="Column9" totalsRowFunction="sum" headerRowDxfId="156" totalsRowDxfId="155"/>
    <tableColumn id="12" name="Column10" totalsRowFunction="sum" headerRowDxfId="154" totalsRowDxfId="153"/>
    <tableColumn id="13" name="Column11" totalsRowFunction="sum" headerRowDxfId="152" totalsRowDxfId="151"/>
    <tableColumn id="14" name="Column12" totalsRowFunction="sum" headerRowDxfId="150" totalsRowDxfId="149"/>
    <tableColumn id="15" name="Average" totalsRowFunction="custom" headerRowDxfId="148" totalsRowDxfId="147">
      <calculatedColumnFormula>IFERROR(AVERAGE(Communications[[#This Row],[Column1]:[Column12]]),"")</calculatedColumnFormula>
      <totalsRowFormula>IFERROR(AVERAGE(Communications[[#Totals],[Column1]:[Column12]]),"")</totalsRowFormula>
    </tableColumn>
    <tableColumn id="16" name="Total" totalsRowFunction="sum" headerRowDxfId="146" dataDxfId="145" totalsRowDxfId="144">
      <calculatedColumnFormula>SUM(Communications[[#This Row],[Column1]:[Column12]])</calculatedColumnFormula>
    </tableColumn>
    <tableColumn id="2" name="Overview" headerRowDxfId="143" dataDxfId="142" totalsRowDxfId="141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id="6" name="Other" displayName="Other" ref="A49:P53" headerRowCount="0" totalsRowCount="1">
  <tableColumns count="16">
    <tableColumn id="1" name="Description" totalsRowLabel="Other Total" headerRowDxfId="140" totalsRowDxfId="139"/>
    <tableColumn id="3" name="Column1" totalsRowFunction="sum" headerRowDxfId="138" totalsRowDxfId="137"/>
    <tableColumn id="4" name="Column2" totalsRowFunction="sum" headerRowDxfId="136" totalsRowDxfId="135"/>
    <tableColumn id="5" name="Column3" totalsRowFunction="sum" headerRowDxfId="134" totalsRowDxfId="133"/>
    <tableColumn id="6" name="Column4" totalsRowFunction="sum" headerRowDxfId="132" totalsRowDxfId="131"/>
    <tableColumn id="7" name="Column5" totalsRowFunction="sum" headerRowDxfId="130" totalsRowDxfId="129"/>
    <tableColumn id="8" name="Column6" totalsRowFunction="sum" headerRowDxfId="128" totalsRowDxfId="127"/>
    <tableColumn id="9" name="Column7" totalsRowFunction="sum" headerRowDxfId="126" totalsRowDxfId="125"/>
    <tableColumn id="10" name="Column8" totalsRowFunction="sum" headerRowDxfId="124" totalsRowDxfId="123"/>
    <tableColumn id="11" name="Column9" totalsRowFunction="sum" headerRowDxfId="122" totalsRowDxfId="121"/>
    <tableColumn id="12" name="Column10" totalsRowFunction="sum" headerRowDxfId="120" totalsRowDxfId="119"/>
    <tableColumn id="13" name="Column11" totalsRowFunction="sum" headerRowDxfId="118" totalsRowDxfId="117"/>
    <tableColumn id="14" name="Column12" totalsRowFunction="sum" headerRowDxfId="116" totalsRowDxfId="115"/>
    <tableColumn id="15" name="Average" totalsRowFunction="custom" headerRowDxfId="114" totalsRowDxfId="113">
      <calculatedColumnFormula>IFERROR(AVERAGE(Other[[#This Row],[Column1]:[Column12]]),"")</calculatedColumnFormula>
      <totalsRowFormula>IFERROR(AVERAGE(Other[[#Totals],[Column1]:[Column12]]),"")</totalsRowFormula>
    </tableColumn>
    <tableColumn id="2" name="Total" totalsRowFunction="sum" headerRowDxfId="112" dataDxfId="111" totalsRowDxfId="110">
      <calculatedColumnFormula>SUM(Other[[#This Row],[Column1]:[Column12]])</calculatedColumnFormula>
    </tableColumn>
    <tableColumn id="16" name="Overview" headerRowDxfId="109" totalsRowDxfId="108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8:P8" headerRowCount="0" totalsRowShown="0" headerRowCellStyle="Heading 3" dataCellStyle="Heading 3">
  <tableColumns count="16">
    <tableColumn id="1" name="Description" headerRowDxfId="107" dataDxfId="106" dataCellStyle="Heading 3"/>
    <tableColumn id="2" name="Column1" headerRowDxfId="105" dataDxfId="104" dataCellStyle="Heading 4">
      <calculatedColumnFormula>SUM(Personnel[[#Totals],[Column1]],MarketResearch[[#Totals],[Column1]],Communications[[#Totals],[Column1]],Other[[#Totals],[Column1]])</calculatedColumnFormula>
    </tableColumn>
    <tableColumn id="3" name="Column2" headerRowDxfId="103" dataDxfId="102" dataCellStyle="Heading 4">
      <calculatedColumnFormula>SUM(Personnel[[#Totals],[Column2]],MarketResearch[[#Totals],[Column2]],Communications[[#Totals],[Column2]],Other[[#Totals],[Column2]])</calculatedColumnFormula>
    </tableColumn>
    <tableColumn id="4" name="Column3" headerRowDxfId="101" dataDxfId="100" dataCellStyle="Heading 4">
      <calculatedColumnFormula>SUM(Personnel[[#Totals],[Column3]],MarketResearch[[#Totals],[Column3]],Communications[[#Totals],[Column3]],Other[[#Totals],[Column3]])</calculatedColumnFormula>
    </tableColumn>
    <tableColumn id="5" name="Column4" headerRowDxfId="99" dataDxfId="98" dataCellStyle="Heading 4">
      <calculatedColumnFormula>SUM(Personnel[[#Totals],[Column4]],MarketResearch[[#Totals],[Column4]],Communications[[#Totals],[Column4]],Other[[#Totals],[Column4]])</calculatedColumnFormula>
    </tableColumn>
    <tableColumn id="6" name="Column5" headerRowDxfId="97" dataDxfId="96" dataCellStyle="Heading 4">
      <calculatedColumnFormula>SUM(Personnel[[#Totals],[Column5]],MarketResearch[[#Totals],[Column5]],Communications[[#Totals],[Column5]],Other[[#Totals],[Column5]])</calculatedColumnFormula>
    </tableColumn>
    <tableColumn id="7" name="Column6" headerRowDxfId="95" dataDxfId="94" dataCellStyle="Heading 4">
      <calculatedColumnFormula>SUM(Personnel[[#Totals],[Column6]],MarketResearch[[#Totals],[Column6]],Communications[[#Totals],[Column6]],Other[[#Totals],[Column6]])</calculatedColumnFormula>
    </tableColumn>
    <tableColumn id="8" name="Column7" headerRowDxfId="93" dataDxfId="92" dataCellStyle="Heading 4">
      <calculatedColumnFormula>SUM(Personnel[[#Totals],[Column7]],MarketResearch[[#Totals],[Column7]],Communications[[#Totals],[Column7]],Other[[#Totals],[Column7]])</calculatedColumnFormula>
    </tableColumn>
    <tableColumn id="9" name="Column8" headerRowDxfId="91" dataDxfId="90" dataCellStyle="Heading 4">
      <calculatedColumnFormula>SUM(Personnel[[#Totals],[Column8]],MarketResearch[[#Totals],[Column8]],Communications[[#Totals],[Column8]],Other[[#Totals],[Column8]])</calculatedColumnFormula>
    </tableColumn>
    <tableColumn id="10" name="Column9" headerRowDxfId="89" dataDxfId="88" dataCellStyle="Heading 4">
      <calculatedColumnFormula>SUM(Personnel[[#Totals],[Column9]],MarketResearch[[#Totals],[Column9]],Communications[[#Totals],[Column9]],Other[[#Totals],[Column9]])</calculatedColumnFormula>
    </tableColumn>
    <tableColumn id="11" name="Column10" headerRowDxfId="87" dataDxfId="86" dataCellStyle="Heading 4">
      <calculatedColumnFormula>SUM(Personnel[[#Totals],[Column10]],MarketResearch[[#Totals],[Column10]],Communications[[#Totals],[Column10]],Other[[#Totals],[Column10]])</calculatedColumnFormula>
    </tableColumn>
    <tableColumn id="12" name="Column11" headerRowDxfId="85" dataDxfId="84" dataCellStyle="Heading 4">
      <calculatedColumnFormula>SUM(Personnel[[#Totals],[Column11]],MarketResearch[[#Totals],[Column11]],Communications[[#Totals],[Column11]],Other[[#Totals],[Column11]])</calculatedColumnFormula>
    </tableColumn>
    <tableColumn id="13" name="Column12" headerRowDxfId="83" dataDxfId="82" dataCellStyle="Heading 4">
      <calculatedColumnFormula>SUM(Personnel[[#Totals],[Column12]],MarketResearch[[#Totals],[Column12]],Communications[[#Totals],[Column12]],Other[[#Totals],[Column12]])</calculatedColumnFormula>
    </tableColumn>
    <tableColumn id="14" name="Average" headerRowDxfId="81" dataDxfId="80" dataCellStyle="Heading 4">
      <calculatedColumnFormula>AVERAGE(B10:M10)</calculatedColumnFormula>
    </tableColumn>
    <tableColumn id="15" name="Total" headerRowDxfId="79" dataDxfId="78" dataCellStyle="Heading 4">
      <calculatedColumnFormula>SUM(B10:M10)</calculatedColumnFormula>
    </tableColumn>
    <tableColumn id="16" name="Overview" headerRowDxfId="77" dataDxfId="76" dataCellStyle="Heading 4"/>
  </tableColumns>
  <tableStyleInfo name="Marketing Tables Light" showFirstColumn="0" showLastColumn="0" showRowStripes="1" showColumnStripes="0"/>
</table>
</file>

<file path=xl/tables/table6.xml><?xml version="1.0" encoding="utf-8"?>
<table xmlns="http://schemas.openxmlformats.org/spreadsheetml/2006/main" id="3" name="Communications4" displayName="Communications4" ref="A36:P40" headerRowCount="0" totalsRowCount="1">
  <tableColumns count="16">
    <tableColumn id="1" name="Description" totalsRowLabel="Website" headerRowDxfId="75" dataDxfId="74" totalsRowDxfId="73"/>
    <tableColumn id="3" name="Column1" totalsRowFunction="sum" headerRowDxfId="72" totalsRowDxfId="71"/>
    <tableColumn id="4" name="Column2" totalsRowFunction="sum" headerRowDxfId="70" totalsRowDxfId="69"/>
    <tableColumn id="5" name="Column3" totalsRowFunction="sum" headerRowDxfId="68" totalsRowDxfId="67"/>
    <tableColumn id="6" name="Column4" totalsRowFunction="sum" headerRowDxfId="66" totalsRowDxfId="65"/>
    <tableColumn id="7" name="Column5" totalsRowFunction="sum" headerRowDxfId="64" totalsRowDxfId="63"/>
    <tableColumn id="8" name="Column6" totalsRowFunction="sum" headerRowDxfId="62" totalsRowDxfId="61"/>
    <tableColumn id="9" name="Column7" totalsRowFunction="sum" headerRowDxfId="60" totalsRowDxfId="59"/>
    <tableColumn id="10" name="Column8" totalsRowFunction="sum" headerRowDxfId="58" totalsRowDxfId="57"/>
    <tableColumn id="11" name="Column9" totalsRowFunction="sum" headerRowDxfId="56" totalsRowDxfId="55"/>
    <tableColumn id="12" name="Column10" totalsRowFunction="sum" headerRowDxfId="54" totalsRowDxfId="53"/>
    <tableColumn id="13" name="Column11" totalsRowFunction="sum" headerRowDxfId="52" totalsRowDxfId="51"/>
    <tableColumn id="14" name="Column12" totalsRowFunction="sum" headerRowDxfId="50" totalsRowDxfId="49"/>
    <tableColumn id="15" name="Average" totalsRowFunction="custom" headerRowDxfId="48" totalsRowDxfId="47">
      <calculatedColumnFormula>IFERROR(AVERAGE(Communications4[[#This Row],[Column1]:[Column12]]),"")</calculatedColumnFormula>
      <totalsRowFormula>IFERROR(AVERAGE(Communications4[[#Totals],[Column1]:[Column12]]),"")</totalsRowFormula>
    </tableColumn>
    <tableColumn id="16" name="Total" totalsRowFunction="sum" headerRowDxfId="46" dataDxfId="45" totalsRowDxfId="44">
      <calculatedColumnFormula>SUM(Communications4[[#This Row],[Column1]:[Column12]])</calculatedColumnFormula>
    </tableColumn>
    <tableColumn id="2" name="Overview" headerRowDxfId="43" dataDxfId="42" totalsRowDxfId="41"/>
  </tableColumns>
  <tableStyleInfo name="TableStyleMedium25" showFirstColumn="0" showLastColumn="0" showRowStripes="1" showColumnStripes="0"/>
</table>
</file>

<file path=xl/tables/table7.xml><?xml version="1.0" encoding="utf-8"?>
<table xmlns="http://schemas.openxmlformats.org/spreadsheetml/2006/main" id="7" name="Communications48" displayName="Communications48" ref="A43:P46" headerRowCount="0" totalsRowCount="1">
  <tableColumns count="16">
    <tableColumn id="1" name="Description" totalsRowLabel="Employees" headerRowDxfId="40" dataDxfId="39" totalsRowDxfId="15"/>
    <tableColumn id="3" name="Column1" totalsRowFunction="sum" headerRowDxfId="38" totalsRowDxfId="14"/>
    <tableColumn id="4" name="Column2" totalsRowFunction="sum" headerRowDxfId="37" totalsRowDxfId="13"/>
    <tableColumn id="5" name="Column3" totalsRowFunction="sum" headerRowDxfId="36" totalsRowDxfId="12"/>
    <tableColumn id="6" name="Column4" totalsRowFunction="sum" headerRowDxfId="35" totalsRowDxfId="11"/>
    <tableColumn id="7" name="Column5" totalsRowFunction="sum" headerRowDxfId="34" totalsRowDxfId="10"/>
    <tableColumn id="8" name="Column6" totalsRowFunction="sum" headerRowDxfId="33" totalsRowDxfId="9"/>
    <tableColumn id="9" name="Column7" totalsRowFunction="sum" headerRowDxfId="32" totalsRowDxfId="8"/>
    <tableColumn id="10" name="Column8" totalsRowFunction="sum" headerRowDxfId="31" totalsRowDxfId="7"/>
    <tableColumn id="11" name="Column9" totalsRowFunction="sum" headerRowDxfId="30" totalsRowDxfId="6"/>
    <tableColumn id="12" name="Column10" totalsRowFunction="sum" headerRowDxfId="29" totalsRowDxfId="5"/>
    <tableColumn id="13" name="Column11" totalsRowFunction="sum" headerRowDxfId="28" totalsRowDxfId="4"/>
    <tableColumn id="14" name="Column12" totalsRowFunction="sum" headerRowDxfId="27" totalsRowDxfId="3"/>
    <tableColumn id="15" name="Average" totalsRowFunction="custom" headerRowDxfId="26" totalsRowDxfId="2">
      <calculatedColumnFormula>IFERROR(AVERAGE(Communications48[[#This Row],[Column1]:[Column12]]),"")</calculatedColumnFormula>
      <totalsRowFormula>IFERROR(AVERAGE(Communications48[[#Totals],[Column1]:[Column12]]),"")</totalsRowFormula>
    </tableColumn>
    <tableColumn id="16" name="Total" totalsRowFunction="sum" headerRowDxfId="25" dataDxfId="24" totalsRowDxfId="1">
      <calculatedColumnFormula>SUM(Communications48[[#This Row],[Column1]:[Column12]])</calculatedColumnFormula>
    </tableColumn>
    <tableColumn id="2" name="Overview" headerRowDxfId="23" dataDxfId="22" totalsRow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Inspiration">
  <a:themeElements>
    <a:clrScheme name="Inspiration">
      <a:dk1>
        <a:sysClr val="windowText" lastClr="000000"/>
      </a:dk1>
      <a:lt1>
        <a:sysClr val="window" lastClr="FFFFFF"/>
      </a:lt1>
      <a:dk2>
        <a:srgbClr val="2F2F26"/>
      </a:dk2>
      <a:lt2>
        <a:srgbClr val="9FA795"/>
      </a:lt2>
      <a:accent1>
        <a:srgbClr val="749805"/>
      </a:accent1>
      <a:accent2>
        <a:srgbClr val="BACC82"/>
      </a:accent2>
      <a:accent3>
        <a:srgbClr val="6E9EC2"/>
      </a:accent3>
      <a:accent4>
        <a:srgbClr val="2046A5"/>
      </a:accent4>
      <a:accent5>
        <a:srgbClr val="5039C6"/>
      </a:accent5>
      <a:accent6>
        <a:srgbClr val="7411D0"/>
      </a:accent6>
      <a:hlink>
        <a:srgbClr val="FFC000"/>
      </a:hlink>
      <a:folHlink>
        <a:srgbClr val="C0C000"/>
      </a:folHlink>
    </a:clrScheme>
    <a:fontScheme name="Inspiration">
      <a:majorFont>
        <a:latin typeface="News Gothic MT"/>
        <a:ea typeface=""/>
        <a:cs typeface=""/>
        <a:font script="Jpan" typeface="メイリオ"/>
        <a:font script="Hans" typeface="宋体"/>
        <a:font script="Hant" typeface="新細明體"/>
      </a:majorFont>
      <a:minorFont>
        <a:latin typeface="News Gothic MT"/>
        <a:ea typeface=""/>
        <a:cs typeface=""/>
        <a:font script="Jpan" typeface="メイリオ"/>
        <a:font script="Hans" typeface="宋体"/>
        <a:font script="Hant" typeface="新細明體"/>
      </a:minorFont>
    </a:fontScheme>
    <a:fmtScheme name="Inspiration">
      <a:fillStyleLst>
        <a:solidFill>
          <a:schemeClr val="phClr"/>
        </a:solidFill>
        <a:gradFill rotWithShape="1">
          <a:gsLst>
            <a:gs pos="25000">
              <a:schemeClr val="phClr">
                <a:tint val="90000"/>
                <a:shade val="100000"/>
                <a:alpha val="90000"/>
                <a:satMod val="150000"/>
              </a:schemeClr>
            </a:gs>
            <a:gs pos="100000">
              <a:schemeClr val="phClr">
                <a:tint val="100000"/>
                <a:shade val="60000"/>
                <a:satMod val="13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0000"/>
                <a:shade val="100000"/>
                <a:alpha val="85000"/>
                <a:satMod val="150000"/>
              </a:schemeClr>
            </a:gs>
            <a:gs pos="33000">
              <a:schemeClr val="phClr">
                <a:tint val="90000"/>
                <a:shade val="100000"/>
                <a:alpha val="95000"/>
                <a:satMod val="130000"/>
              </a:schemeClr>
            </a:gs>
            <a:gs pos="67000">
              <a:schemeClr val="phClr">
                <a:shade val="70000"/>
                <a:satMod val="135000"/>
              </a:schemeClr>
            </a:gs>
            <a:gs pos="100000">
              <a:schemeClr val="phClr">
                <a:shade val="50000"/>
                <a:satMod val="135000"/>
              </a:schemeClr>
            </a:gs>
          </a:gsLst>
          <a:lin ang="13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thickThin" algn="ctr">
          <a:solidFill>
            <a:schemeClr val="phClr"/>
          </a:solidFill>
          <a:prstDash val="solid"/>
        </a:ln>
        <a:ln w="38100" cap="flat" cmpd="thinThick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woPt" dir="tl"/>
          </a:scene3d>
          <a:sp3d extrusionH="12700" prstMaterial="softEdge">
            <a:bevelT w="25400" h="50800"/>
          </a:sp3d>
        </a:effectStyle>
        <a:effectStyle>
          <a:effectLst>
            <a:innerShdw blurRad="50800" dist="25400" dir="2400000">
              <a:srgbClr val="808080">
                <a:alpha val="75000"/>
              </a:srgbClr>
            </a:innerShdw>
            <a:reflection blurRad="38100" stA="26000" endPos="35000" dist="12700" dir="5400000" fadeDir="48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U61"/>
  <sheetViews>
    <sheetView showGridLines="0" tabSelected="1" topLeftCell="A19" workbookViewId="0">
      <selection activeCell="G36" sqref="G36"/>
    </sheetView>
  </sheetViews>
  <sheetFormatPr baseColWidth="10" defaultColWidth="9.25" defaultRowHeight="16" x14ac:dyDescent="0"/>
  <cols>
    <col min="1" max="1" width="29.25" style="3" customWidth="1"/>
    <col min="2" max="14" width="8.75" style="3" customWidth="1"/>
    <col min="15" max="15" width="12.25" style="3" customWidth="1"/>
    <col min="16" max="16" width="10.5" style="3" customWidth="1"/>
    <col min="17" max="16384" width="9.25" style="3"/>
  </cols>
  <sheetData>
    <row r="1" spans="1:21" ht="37" thickBot="1">
      <c r="A1" s="25" t="s">
        <v>3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27" t="s">
        <v>1</v>
      </c>
      <c r="P1" s="28">
        <v>41654</v>
      </c>
      <c r="R1" s="24"/>
      <c r="S1" s="24"/>
      <c r="T1" s="24"/>
      <c r="U1" s="24"/>
    </row>
    <row r="2" spans="1:2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4"/>
      <c r="R2" s="24"/>
      <c r="S2" s="24"/>
      <c r="T2" s="24"/>
      <c r="U2" s="24"/>
    </row>
    <row r="3" spans="1:21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32"/>
      <c r="P3" s="32"/>
      <c r="Q3" s="24"/>
      <c r="R3" s="24"/>
      <c r="S3" s="24"/>
      <c r="T3" s="24"/>
      <c r="U3" s="24"/>
    </row>
    <row r="4" spans="1:21">
      <c r="A4" s="21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32"/>
      <c r="P4" s="32"/>
      <c r="Q4" s="24"/>
      <c r="R4" s="24"/>
      <c r="S4" s="24"/>
      <c r="T4" s="24"/>
      <c r="U4" s="24"/>
    </row>
    <row r="5" spans="1:2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6"/>
      <c r="Q5" s="24"/>
      <c r="R5" s="24"/>
      <c r="S5" s="24"/>
      <c r="T5" s="24"/>
      <c r="U5" s="24"/>
    </row>
    <row r="6" spans="1:21" ht="33" thickBot="1">
      <c r="A6" s="12"/>
      <c r="B6" s="13">
        <f>FiscalYear</f>
        <v>41654</v>
      </c>
      <c r="C6" s="13">
        <f>DATE(YEAR(B6),MONTH(B6)+1,1)</f>
        <v>41671</v>
      </c>
      <c r="D6" s="13">
        <f t="shared" ref="D6:M6" si="0">DATE(YEAR(C6),MONTH(C6)+1,1)</f>
        <v>41699</v>
      </c>
      <c r="E6" s="13">
        <f t="shared" si="0"/>
        <v>41730</v>
      </c>
      <c r="F6" s="13">
        <f t="shared" si="0"/>
        <v>41760</v>
      </c>
      <c r="G6" s="13">
        <f t="shared" si="0"/>
        <v>41791</v>
      </c>
      <c r="H6" s="13">
        <f t="shared" si="0"/>
        <v>41821</v>
      </c>
      <c r="I6" s="13">
        <f t="shared" si="0"/>
        <v>41852</v>
      </c>
      <c r="J6" s="13">
        <f t="shared" si="0"/>
        <v>41883</v>
      </c>
      <c r="K6" s="13">
        <f t="shared" si="0"/>
        <v>41913</v>
      </c>
      <c r="L6" s="13">
        <f t="shared" si="0"/>
        <v>41944</v>
      </c>
      <c r="M6" s="13">
        <f t="shared" si="0"/>
        <v>41974</v>
      </c>
      <c r="N6" s="14" t="s">
        <v>2</v>
      </c>
      <c r="O6" s="14" t="s">
        <v>17</v>
      </c>
      <c r="P6" s="15" t="s">
        <v>0</v>
      </c>
      <c r="Q6" s="24"/>
      <c r="R6" s="24"/>
      <c r="S6" s="24"/>
      <c r="T6" s="24"/>
      <c r="U6" s="24"/>
    </row>
    <row r="7" spans="1:21" ht="17" thickTop="1">
      <c r="A7" s="24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 s="24"/>
      <c r="R7" s="24"/>
      <c r="S7" s="24"/>
      <c r="U7" s="24"/>
    </row>
    <row r="8" spans="1:21" ht="21" customHeight="1" thickBot="1">
      <c r="A8" s="26" t="s">
        <v>19</v>
      </c>
      <c r="B8" s="22">
        <f>SUM(Personnel[[#Totals],[Column1]],MarketResearch[[#Totals],[Column1]],Communications[[#Totals],[Column1]],Other[[#Totals],[Column1]])</f>
        <v>19915</v>
      </c>
      <c r="C8" s="22">
        <f>SUM(Personnel[[#Totals],[Column2]],MarketResearch[[#Totals],[Column2]],Communications[[#Totals],[Column2]],Other[[#Totals],[Column2]])</f>
        <v>22439</v>
      </c>
      <c r="D8" s="22">
        <f>SUM(Personnel[[#Totals],[Column3]],MarketResearch[[#Totals],[Column3]],Communications[[#Totals],[Column3]],Other[[#Totals],[Column3]])</f>
        <v>16188</v>
      </c>
      <c r="E8" s="22">
        <f>SUM(Personnel[[#Totals],[Column4]],MarketResearch[[#Totals],[Column4]],Communications[[#Totals],[Column4]],Other[[#Totals],[Column4]])</f>
        <v>20158</v>
      </c>
      <c r="F8" s="22">
        <f>SUM(Personnel[[#Totals],[Column5]],MarketResearch[[#Totals],[Column5]],Communications[[#Totals],[Column5]],Other[[#Totals],[Column5]])</f>
        <v>17582</v>
      </c>
      <c r="G8" s="22">
        <f>SUM(Personnel[[#Totals],[Column6]],MarketResearch[[#Totals],[Column6]],Communications[[#Totals],[Column6]],Other[[#Totals],[Column6]])</f>
        <v>0</v>
      </c>
      <c r="H8" s="22">
        <f>SUM(Personnel[[#Totals],[Column7]],MarketResearch[[#Totals],[Column7]],Communications[[#Totals],[Column7]],Other[[#Totals],[Column7]])</f>
        <v>0</v>
      </c>
      <c r="I8" s="22">
        <f>SUM(Personnel[[#Totals],[Column8]],MarketResearch[[#Totals],[Column8]],Communications[[#Totals],[Column8]],Other[[#Totals],[Column8]])</f>
        <v>0</v>
      </c>
      <c r="J8" s="22">
        <f>SUM(Personnel[[#Totals],[Column9]],MarketResearch[[#Totals],[Column9]],Communications[[#Totals],[Column9]],Other[[#Totals],[Column9]])</f>
        <v>0</v>
      </c>
      <c r="K8" s="22">
        <f>SUM(Personnel[[#Totals],[Column10]],MarketResearch[[#Totals],[Column10]],Communications[[#Totals],[Column10]],Other[[#Totals],[Column10]])</f>
        <v>0</v>
      </c>
      <c r="L8" s="22">
        <f>SUM(Personnel[[#Totals],[Column11]],MarketResearch[[#Totals],[Column11]],Communications[[#Totals],[Column11]],Other[[#Totals],[Column11]])</f>
        <v>0</v>
      </c>
      <c r="M8" s="22">
        <f>SUM(Personnel[[#Totals],[Column12]],MarketResearch[[#Totals],[Column12]],Communications[[#Totals],[Column12]],Other[[#Totals],[Column12]])</f>
        <v>0</v>
      </c>
      <c r="N8" s="22">
        <f>AVERAGE(B8:M8)</f>
        <v>8023.5</v>
      </c>
      <c r="O8" s="22">
        <f>SUM(B8:M8)</f>
        <v>96282</v>
      </c>
      <c r="P8" s="23"/>
      <c r="Q8" s="24"/>
      <c r="R8" s="24"/>
      <c r="S8" s="24"/>
      <c r="T8" s="24"/>
      <c r="U8" s="24"/>
    </row>
    <row r="9" spans="1:21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S9" s="24"/>
      <c r="T9" s="24"/>
      <c r="U9" s="24"/>
    </row>
    <row r="10" spans="1:21" ht="19" thickBot="1">
      <c r="A10" s="26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4"/>
      <c r="R10" s="24"/>
      <c r="S10" s="24"/>
      <c r="T10" s="24"/>
      <c r="U10" s="24"/>
    </row>
    <row r="11" spans="1:21">
      <c r="A11" s="2" t="s">
        <v>4</v>
      </c>
      <c r="B11" s="16">
        <v>521</v>
      </c>
      <c r="C11" s="16">
        <v>323</v>
      </c>
      <c r="D11" s="16">
        <v>274</v>
      </c>
      <c r="E11" s="16">
        <v>451</v>
      </c>
      <c r="F11" s="16">
        <v>104</v>
      </c>
      <c r="G11" s="16"/>
      <c r="H11" s="16"/>
      <c r="I11" s="16"/>
      <c r="J11" s="16"/>
      <c r="K11" s="16"/>
      <c r="L11" s="16"/>
      <c r="M11" s="16"/>
      <c r="N11" s="16">
        <f>IFERROR(AVERAGE(Personnel[[#This Row],[Column1]:[Column12]]),"")</f>
        <v>334.6</v>
      </c>
      <c r="O11" s="18">
        <f>SUM(Personnel[[#This Row],[Column1]:[Column12]])</f>
        <v>1673</v>
      </c>
      <c r="P11" s="1"/>
      <c r="Q11" s="24"/>
      <c r="R11" s="24"/>
      <c r="S11" s="24"/>
      <c r="T11" s="24"/>
      <c r="U11" s="24"/>
    </row>
    <row r="12" spans="1:21">
      <c r="A12" s="2" t="s">
        <v>5</v>
      </c>
      <c r="B12" s="16">
        <v>10572</v>
      </c>
      <c r="C12" s="16">
        <v>14514</v>
      </c>
      <c r="D12" s="16">
        <v>10561</v>
      </c>
      <c r="E12" s="16">
        <v>13170</v>
      </c>
      <c r="F12" s="16">
        <v>12478</v>
      </c>
      <c r="G12" s="16"/>
      <c r="H12" s="16"/>
      <c r="I12" s="16"/>
      <c r="J12" s="16"/>
      <c r="K12" s="16"/>
      <c r="L12" s="16"/>
      <c r="M12" s="16"/>
      <c r="N12" s="16">
        <f>IFERROR(AVERAGE(Personnel[[#This Row],[Column1]:[Column12]]),"")</f>
        <v>12259</v>
      </c>
      <c r="O12" s="18">
        <f>SUM(Personnel[[#This Row],[Column1]:[Column12]])</f>
        <v>61295</v>
      </c>
      <c r="P12" s="1"/>
      <c r="Q12" s="24"/>
      <c r="S12" s="24"/>
      <c r="T12" s="24"/>
      <c r="U12" s="24"/>
    </row>
    <row r="13" spans="1:21">
      <c r="A13" s="2" t="s">
        <v>6</v>
      </c>
      <c r="B13" s="16">
        <v>250</v>
      </c>
      <c r="C13" s="16">
        <v>428</v>
      </c>
      <c r="D13" s="16">
        <v>165</v>
      </c>
      <c r="E13" s="16">
        <v>1168</v>
      </c>
      <c r="F13" s="16">
        <v>345</v>
      </c>
      <c r="G13" s="16"/>
      <c r="H13" s="16"/>
      <c r="I13" s="16"/>
      <c r="J13" s="16"/>
      <c r="K13" s="16"/>
      <c r="L13" s="16"/>
      <c r="M13" s="16"/>
      <c r="N13" s="16">
        <f>IFERROR(AVERAGE(Personnel[[#This Row],[Column1]:[Column12]]),"")</f>
        <v>471.2</v>
      </c>
      <c r="O13" s="18">
        <f>SUM(Personnel[[#This Row],[Column1]:[Column12]])</f>
        <v>2356</v>
      </c>
      <c r="P13" s="1"/>
      <c r="Q13" s="24"/>
      <c r="R13" s="24"/>
      <c r="S13" s="24"/>
      <c r="T13" s="24"/>
      <c r="U13" s="24"/>
    </row>
    <row r="14" spans="1:21">
      <c r="A14" s="2" t="s">
        <v>7</v>
      </c>
      <c r="B14" s="16">
        <v>0</v>
      </c>
      <c r="C14" s="16">
        <v>2200</v>
      </c>
      <c r="D14" s="16">
        <v>163</v>
      </c>
      <c r="E14" s="16">
        <v>67</v>
      </c>
      <c r="F14" s="16">
        <v>0</v>
      </c>
      <c r="G14" s="16"/>
      <c r="H14" s="16"/>
      <c r="I14" s="16"/>
      <c r="J14" s="16"/>
      <c r="K14" s="16"/>
      <c r="L14" s="16"/>
      <c r="M14" s="16"/>
      <c r="N14" s="16">
        <f>IFERROR(AVERAGE(Personnel[[#This Row],[Column1]:[Column12]]),"")</f>
        <v>486</v>
      </c>
      <c r="O14" s="18">
        <f>SUM(Personnel[[#This Row],[Column1]:[Column12]])</f>
        <v>2430</v>
      </c>
      <c r="P14" s="1"/>
    </row>
    <row r="15" spans="1:21">
      <c r="A15" s="2" t="s">
        <v>8</v>
      </c>
      <c r="B15" s="16">
        <f>SUBTOTAL(109,Personnel[Column1])</f>
        <v>11343</v>
      </c>
      <c r="C15" s="16">
        <f>SUBTOTAL(109,Personnel[Column2])</f>
        <v>17465</v>
      </c>
      <c r="D15" s="16">
        <f>SUBTOTAL(109,Personnel[Column3])</f>
        <v>11163</v>
      </c>
      <c r="E15" s="16">
        <f>SUBTOTAL(109,Personnel[Column4])</f>
        <v>14856</v>
      </c>
      <c r="F15" s="16">
        <f>SUBTOTAL(109,Personnel[Column5])</f>
        <v>12927</v>
      </c>
      <c r="G15" s="16">
        <f>SUBTOTAL(109,Personnel[Column6])</f>
        <v>0</v>
      </c>
      <c r="H15" s="16">
        <f>SUBTOTAL(109,Personnel[Column7])</f>
        <v>0</v>
      </c>
      <c r="I15" s="16">
        <f>SUBTOTAL(109,Personnel[Column8])</f>
        <v>0</v>
      </c>
      <c r="J15" s="16">
        <f>SUBTOTAL(109,Personnel[Column9])</f>
        <v>0</v>
      </c>
      <c r="K15" s="16">
        <f>SUBTOTAL(109,Personnel[Column10])</f>
        <v>0</v>
      </c>
      <c r="L15" s="16">
        <f>SUBTOTAL(109,Personnel[Column11])</f>
        <v>0</v>
      </c>
      <c r="M15" s="16">
        <f>SUBTOTAL(109,Personnel[Column12])</f>
        <v>0</v>
      </c>
      <c r="N15" s="16">
        <f>IFERROR(AVERAGE(Personnel[[#Totals],[Column1]:[Column12]]),"")</f>
        <v>5646.166666666667</v>
      </c>
      <c r="O15" s="18">
        <f>SUBTOTAL(109,Personnel[Total])</f>
        <v>67754</v>
      </c>
      <c r="P15" s="1"/>
    </row>
    <row r="17" spans="1:17" ht="19" thickBot="1">
      <c r="A17" s="26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>
      <c r="A18" s="2" t="s">
        <v>24</v>
      </c>
      <c r="B18" s="16">
        <v>400</v>
      </c>
      <c r="C18" s="16">
        <v>400</v>
      </c>
      <c r="D18" s="16">
        <v>400</v>
      </c>
      <c r="E18" s="16">
        <v>400</v>
      </c>
      <c r="F18" s="16">
        <v>400</v>
      </c>
      <c r="G18" s="16"/>
      <c r="H18" s="16"/>
      <c r="I18" s="16"/>
      <c r="J18" s="16"/>
      <c r="K18" s="16"/>
      <c r="L18" s="16"/>
      <c r="M18" s="16"/>
      <c r="N18" s="16">
        <f>IFERROR(AVERAGE(MarketResearch[[#This Row],[Column1]:[Column12]]),"")</f>
        <v>400</v>
      </c>
      <c r="O18" s="18">
        <f>SUM(MarketResearch[[#This Row],[Column1]:[Column12]])</f>
        <v>2000</v>
      </c>
      <c r="P18" s="1"/>
    </row>
    <row r="19" spans="1:17" ht="32">
      <c r="A19" s="2" t="s">
        <v>25</v>
      </c>
      <c r="B19" s="16">
        <v>100</v>
      </c>
      <c r="C19" s="16">
        <v>100</v>
      </c>
      <c r="D19" s="16">
        <v>100</v>
      </c>
      <c r="E19" s="16">
        <v>100</v>
      </c>
      <c r="F19" s="16">
        <v>100</v>
      </c>
      <c r="G19" s="16"/>
      <c r="H19" s="16"/>
      <c r="I19" s="16"/>
      <c r="J19" s="16"/>
      <c r="K19" s="16"/>
      <c r="L19" s="16"/>
      <c r="M19" s="16"/>
      <c r="N19" s="16">
        <f>IFERROR(AVERAGE(MarketResearch[[#This Row],[Column1]:[Column12]]),"")</f>
        <v>100</v>
      </c>
      <c r="O19" s="18">
        <f>SUM(MarketResearch[[#This Row],[Column1]:[Column12]])</f>
        <v>500</v>
      </c>
      <c r="P19" s="1"/>
      <c r="Q19" s="24"/>
    </row>
    <row r="20" spans="1:17">
      <c r="A20" s="2" t="s">
        <v>10</v>
      </c>
      <c r="B20" s="16">
        <f>SUBTOTAL(109,MarketResearch[Column1])</f>
        <v>500</v>
      </c>
      <c r="C20" s="16">
        <f>SUBTOTAL(109,MarketResearch[Column2])</f>
        <v>500</v>
      </c>
      <c r="D20" s="16">
        <f>SUBTOTAL(109,MarketResearch[Column3])</f>
        <v>500</v>
      </c>
      <c r="E20" s="16">
        <f>SUBTOTAL(109,MarketResearch[Column4])</f>
        <v>500</v>
      </c>
      <c r="F20" s="16">
        <f>SUBTOTAL(109,MarketResearch[Column5])</f>
        <v>500</v>
      </c>
      <c r="G20" s="16">
        <f>SUBTOTAL(109,MarketResearch[Column6])</f>
        <v>0</v>
      </c>
      <c r="H20" s="16">
        <f>SUBTOTAL(109,MarketResearch[Column7])</f>
        <v>0</v>
      </c>
      <c r="I20" s="16">
        <f>SUBTOTAL(109,MarketResearch[Column8])</f>
        <v>0</v>
      </c>
      <c r="J20" s="16">
        <f>SUBTOTAL(109,MarketResearch[Column9])</f>
        <v>0</v>
      </c>
      <c r="K20" s="16">
        <f>SUBTOTAL(109,MarketResearch[Column10])</f>
        <v>0</v>
      </c>
      <c r="L20" s="16">
        <f>SUBTOTAL(109,MarketResearch[Column11])</f>
        <v>0</v>
      </c>
      <c r="M20" s="16">
        <f>SUBTOTAL(109,MarketResearch[Column12])</f>
        <v>0</v>
      </c>
      <c r="N20" s="16">
        <f>IFERROR(AVERAGE(MarketResearch[[#Totals],[Column1]:[Column12]]),"")</f>
        <v>208.33333333333334</v>
      </c>
      <c r="O20" s="18">
        <f>SUBTOTAL(109,MarketResearch[Total])</f>
        <v>2500</v>
      </c>
      <c r="P20" s="1"/>
    </row>
    <row r="22" spans="1:17" ht="19" thickBot="1">
      <c r="A22" s="26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7">
      <c r="A23" s="2" t="s">
        <v>11</v>
      </c>
      <c r="B23" s="16">
        <v>500</v>
      </c>
      <c r="C23" s="16">
        <v>500</v>
      </c>
      <c r="D23" s="16">
        <v>500</v>
      </c>
      <c r="E23" s="16">
        <v>500</v>
      </c>
      <c r="F23" s="16">
        <v>500</v>
      </c>
      <c r="G23" s="16"/>
      <c r="H23" s="16"/>
      <c r="I23" s="16"/>
      <c r="J23" s="16"/>
      <c r="K23" s="16"/>
      <c r="L23" s="16"/>
      <c r="M23" s="16"/>
      <c r="N23" s="16">
        <f>IFERROR(AVERAGE(Communications[[#This Row],[Column1]:[Column12]]),"")</f>
        <v>500</v>
      </c>
      <c r="O23" s="18">
        <f>SUM(Communications[[#This Row],[Column1]:[Column12]])</f>
        <v>2500</v>
      </c>
      <c r="P23" s="1"/>
    </row>
    <row r="24" spans="1:17">
      <c r="A24" s="2" t="s">
        <v>26</v>
      </c>
      <c r="B24" s="16">
        <v>300</v>
      </c>
      <c r="C24" s="16">
        <v>300</v>
      </c>
      <c r="D24" s="16">
        <v>300</v>
      </c>
      <c r="E24" s="16">
        <v>300</v>
      </c>
      <c r="F24" s="16">
        <v>300</v>
      </c>
      <c r="G24" s="16"/>
      <c r="H24" s="16"/>
      <c r="I24" s="16"/>
      <c r="J24" s="16"/>
      <c r="K24" s="16"/>
      <c r="L24" s="16"/>
      <c r="M24" s="16"/>
      <c r="N24" s="16">
        <f>IFERROR(AVERAGE(Communications[[#This Row],[Column1]:[Column12]]),"")</f>
        <v>300</v>
      </c>
      <c r="O24" s="18">
        <f>SUM(Communications[[#This Row],[Column1]:[Column12]])</f>
        <v>1500</v>
      </c>
      <c r="P24" s="1"/>
    </row>
    <row r="25" spans="1:17">
      <c r="A25" s="2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 t="str">
        <f>IFERROR(AVERAGE(Communications[[#This Row],[Column1]:[Column12]]),"")</f>
        <v/>
      </c>
      <c r="O25" s="18">
        <f>SUM(Communications[[#This Row],[Column1]:[Column12]])</f>
        <v>0</v>
      </c>
      <c r="P25" s="1"/>
    </row>
    <row r="26" spans="1:17">
      <c r="A26" s="2" t="s">
        <v>27</v>
      </c>
      <c r="B26" s="16">
        <v>800</v>
      </c>
      <c r="C26" s="16">
        <v>800</v>
      </c>
      <c r="D26" s="16">
        <v>800</v>
      </c>
      <c r="E26" s="16">
        <v>800</v>
      </c>
      <c r="F26" s="16">
        <v>800</v>
      </c>
      <c r="G26" s="16"/>
      <c r="H26" s="16"/>
      <c r="I26" s="16"/>
      <c r="J26" s="16"/>
      <c r="K26" s="16"/>
      <c r="L26" s="16"/>
      <c r="M26" s="16"/>
      <c r="N26" s="16">
        <f>IFERROR(AVERAGE(Communications[[#This Row],[Column1]:[Column12]]),"")</f>
        <v>800</v>
      </c>
      <c r="O26" s="18">
        <f>SUM(Communications[[#This Row],[Column1]:[Column12]])</f>
        <v>4000</v>
      </c>
      <c r="P26" s="1"/>
    </row>
    <row r="27" spans="1:17">
      <c r="A27" s="29" t="s">
        <v>30</v>
      </c>
      <c r="B27" s="16">
        <v>350</v>
      </c>
      <c r="C27" s="16">
        <v>350</v>
      </c>
      <c r="D27" s="16">
        <v>350</v>
      </c>
      <c r="E27" s="16">
        <v>350</v>
      </c>
      <c r="F27" s="16">
        <v>350</v>
      </c>
      <c r="G27" s="16"/>
      <c r="H27" s="16"/>
      <c r="I27" s="16"/>
      <c r="J27" s="16"/>
      <c r="K27" s="16"/>
      <c r="L27" s="16"/>
      <c r="M27" s="16"/>
      <c r="N27" s="16">
        <f>IFERROR(AVERAGE(Communications[[#This Row],[Column1]:[Column12]]),"")</f>
        <v>350</v>
      </c>
      <c r="O27" s="18">
        <f>SUM(Communications[[#This Row],[Column1]:[Column12]])</f>
        <v>1750</v>
      </c>
      <c r="P27" s="30"/>
    </row>
    <row r="28" spans="1:17">
      <c r="A28" s="29" t="s">
        <v>31</v>
      </c>
      <c r="B28" s="16">
        <v>400</v>
      </c>
      <c r="C28" s="16">
        <v>400</v>
      </c>
      <c r="D28" s="16">
        <v>400</v>
      </c>
      <c r="E28" s="16">
        <v>400</v>
      </c>
      <c r="F28" s="16">
        <v>400</v>
      </c>
      <c r="G28" s="16"/>
      <c r="H28" s="16"/>
      <c r="I28" s="16"/>
      <c r="J28" s="16"/>
      <c r="K28" s="16"/>
      <c r="L28" s="16"/>
      <c r="M28" s="16"/>
      <c r="N28" s="16">
        <f>IFERROR(AVERAGE(Communications[[#This Row],[Column1]:[Column12]]),"")</f>
        <v>400</v>
      </c>
      <c r="O28" s="18">
        <f>SUM(Communications[[#This Row],[Column1]:[Column12]])</f>
        <v>2000</v>
      </c>
      <c r="P28" s="30"/>
    </row>
    <row r="29" spans="1:17" ht="32">
      <c r="A29" s="29" t="s">
        <v>32</v>
      </c>
      <c r="B29" s="16">
        <v>300</v>
      </c>
      <c r="C29" s="16">
        <v>300</v>
      </c>
      <c r="D29" s="16">
        <v>300</v>
      </c>
      <c r="E29" s="16">
        <v>300</v>
      </c>
      <c r="F29" s="16">
        <v>300</v>
      </c>
      <c r="G29" s="16"/>
      <c r="H29" s="16"/>
      <c r="I29" s="16"/>
      <c r="J29" s="16"/>
      <c r="K29" s="16"/>
      <c r="L29" s="16"/>
      <c r="M29" s="16"/>
      <c r="N29" s="16">
        <f>IFERROR(AVERAGE(Communications[[#This Row],[Column1]:[Column12]]),"")</f>
        <v>300</v>
      </c>
      <c r="O29" s="18">
        <f>SUM(Communications[[#This Row],[Column1]:[Column12]])</f>
        <v>1500</v>
      </c>
      <c r="P29" s="30"/>
    </row>
    <row r="30" spans="1:17" ht="32">
      <c r="A30" s="29" t="s">
        <v>43</v>
      </c>
      <c r="B30" s="16">
        <v>600</v>
      </c>
      <c r="C30" s="16">
        <v>600</v>
      </c>
      <c r="D30" s="16">
        <v>600</v>
      </c>
      <c r="E30" s="16">
        <v>600</v>
      </c>
      <c r="F30" s="16">
        <v>600</v>
      </c>
      <c r="G30" s="16"/>
      <c r="H30" s="16"/>
      <c r="I30" s="16"/>
      <c r="J30" s="16"/>
      <c r="K30" s="16"/>
      <c r="L30" s="16"/>
      <c r="M30" s="16"/>
      <c r="N30" s="16">
        <f>IFERROR(AVERAGE(Communications[[#This Row],[Column1]:[Column12]]),"")</f>
        <v>600</v>
      </c>
      <c r="O30" s="18">
        <f>SUM(Communications[[#This Row],[Column1]:[Column12]])</f>
        <v>3000</v>
      </c>
      <c r="P30" s="30"/>
    </row>
    <row r="31" spans="1:17">
      <c r="A31" s="29" t="s">
        <v>45</v>
      </c>
      <c r="B31" s="16">
        <v>3500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f>IFERROR(AVERAGE(Communications[[#This Row],[Column1]:[Column12]]),"")</f>
        <v>3500</v>
      </c>
      <c r="O31" s="18">
        <f>SUM(Communications[[#This Row],[Column1]:[Column12]])</f>
        <v>3500</v>
      </c>
      <c r="P31" s="30"/>
    </row>
    <row r="32" spans="1:17">
      <c r="A32" s="29" t="s">
        <v>44</v>
      </c>
      <c r="B32" s="16">
        <v>500</v>
      </c>
      <c r="C32" s="16">
        <v>500</v>
      </c>
      <c r="D32" s="16">
        <v>500</v>
      </c>
      <c r="E32" s="16">
        <v>500</v>
      </c>
      <c r="F32" s="16">
        <v>500</v>
      </c>
      <c r="G32" s="16"/>
      <c r="H32" s="16"/>
      <c r="I32" s="16"/>
      <c r="J32" s="16"/>
      <c r="K32" s="16"/>
      <c r="L32" s="16"/>
      <c r="M32" s="16"/>
      <c r="N32" s="16">
        <f>IFERROR(AVERAGE(Communications[[#This Row],[Column1]:[Column12]]),"")</f>
        <v>500</v>
      </c>
      <c r="O32" s="18">
        <f>SUM(Communications[[#This Row],[Column1]:[Column12]])</f>
        <v>2500</v>
      </c>
      <c r="P32" s="30"/>
    </row>
    <row r="33" spans="1:16">
      <c r="A33" s="2" t="s">
        <v>28</v>
      </c>
      <c r="B33" s="16">
        <f>SUBTOTAL(109,Communications[Column1])</f>
        <v>7250</v>
      </c>
      <c r="C33" s="16">
        <f>SUBTOTAL(109,Communications[Column2])</f>
        <v>3750</v>
      </c>
      <c r="D33" s="16">
        <f>SUBTOTAL(109,Communications[Column3])</f>
        <v>3750</v>
      </c>
      <c r="E33" s="16">
        <f>SUBTOTAL(109,Communications[Column4])</f>
        <v>3750</v>
      </c>
      <c r="F33" s="16">
        <f>SUBTOTAL(109,Communications[Column5])</f>
        <v>3750</v>
      </c>
      <c r="G33" s="16">
        <f>SUBTOTAL(109,Communications[Column6])</f>
        <v>0</v>
      </c>
      <c r="H33" s="16">
        <f>SUBTOTAL(109,Communications[Column7])</f>
        <v>0</v>
      </c>
      <c r="I33" s="16">
        <f>SUBTOTAL(109,Communications[Column8])</f>
        <v>0</v>
      </c>
      <c r="J33" s="16">
        <f>SUBTOTAL(109,Communications[Column9])</f>
        <v>0</v>
      </c>
      <c r="K33" s="16">
        <f>SUBTOTAL(109,Communications[Column10])</f>
        <v>0</v>
      </c>
      <c r="L33" s="16">
        <f>SUBTOTAL(109,Communications[Column11])</f>
        <v>0</v>
      </c>
      <c r="M33" s="16">
        <f>SUBTOTAL(109,Communications[Column12])</f>
        <v>0</v>
      </c>
      <c r="N33" s="16">
        <f>IFERROR(AVERAGE(Communications[[#Totals],[Column1]:[Column12]]),"")</f>
        <v>1854.1666666666667</v>
      </c>
      <c r="O33" s="18">
        <f>SUBTOTAL(109,Communications[Total])</f>
        <v>22250</v>
      </c>
      <c r="P33" s="17"/>
    </row>
    <row r="34" spans="1:16">
      <c r="A34" s="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  <c r="P34" s="17"/>
    </row>
    <row r="35" spans="1:16" ht="19" thickBot="1">
      <c r="A35" s="26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>
      <c r="A36" s="2" t="s">
        <v>35</v>
      </c>
      <c r="B36" s="16">
        <v>5000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>
        <f>IFERROR(AVERAGE(Communications4[[#This Row],[Column1]:[Column12]]),"")</f>
        <v>5000</v>
      </c>
      <c r="O36" s="18">
        <f>SUM(Communications4[[#This Row],[Column1]:[Column12]])</f>
        <v>5000</v>
      </c>
      <c r="P36" s="1"/>
    </row>
    <row r="37" spans="1:16">
      <c r="A37" s="2" t="s">
        <v>36</v>
      </c>
      <c r="B37" s="16">
        <v>500</v>
      </c>
      <c r="C37" s="16" t="s">
        <v>37</v>
      </c>
      <c r="D37" s="16" t="s">
        <v>37</v>
      </c>
      <c r="E37" s="16"/>
      <c r="F37" s="16"/>
      <c r="G37" s="16"/>
      <c r="H37" s="16"/>
      <c r="I37" s="16"/>
      <c r="J37" s="16"/>
      <c r="K37" s="16"/>
      <c r="L37" s="16"/>
      <c r="M37" s="16"/>
      <c r="N37" s="16">
        <f>IFERROR(AVERAGE(Communications4[[#This Row],[Column1]:[Column12]]),"")</f>
        <v>500</v>
      </c>
      <c r="O37" s="18">
        <f>SUM(Communications4[[#This Row],[Column1]:[Column12]])</f>
        <v>500</v>
      </c>
      <c r="P37" s="1"/>
    </row>
    <row r="38" spans="1:16">
      <c r="A38" s="2" t="s">
        <v>38</v>
      </c>
      <c r="B38" s="16">
        <v>500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>
        <f>IFERROR(AVERAGE(Communications4[[#This Row],[Column1]:[Column12]]),"")</f>
        <v>500</v>
      </c>
      <c r="O38" s="18">
        <f>SUM(Communications4[[#This Row],[Column1]:[Column12]])</f>
        <v>500</v>
      </c>
      <c r="P38" s="1"/>
    </row>
    <row r="39" spans="1:16">
      <c r="A39" s="29" t="s">
        <v>42</v>
      </c>
      <c r="B39" s="16">
        <v>3500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>
        <f>IFERROR(AVERAGE(Communications4[[#This Row],[Column1]:[Column12]]),"")</f>
        <v>3500</v>
      </c>
      <c r="O39" s="18">
        <f>SUM(Communications4[[#This Row],[Column1]:[Column12]])</f>
        <v>3500</v>
      </c>
      <c r="P39" s="30"/>
    </row>
    <row r="40" spans="1:16">
      <c r="A40" s="2" t="s">
        <v>34</v>
      </c>
      <c r="B40" s="16">
        <f>SUBTOTAL(109,Communications4[Column1])</f>
        <v>9500</v>
      </c>
      <c r="C40" s="16">
        <f>SUBTOTAL(109,Communications4[Column2])</f>
        <v>0</v>
      </c>
      <c r="D40" s="16">
        <f>SUBTOTAL(109,Communications4[Column3])</f>
        <v>0</v>
      </c>
      <c r="E40" s="16">
        <f>SUBTOTAL(109,Communications4[Column4])</f>
        <v>0</v>
      </c>
      <c r="F40" s="16">
        <f>SUBTOTAL(109,Communications4[Column5])</f>
        <v>0</v>
      </c>
      <c r="G40" s="16">
        <f>SUBTOTAL(109,Communications4[Column6])</f>
        <v>0</v>
      </c>
      <c r="H40" s="16">
        <f>SUBTOTAL(109,Communications4[Column7])</f>
        <v>0</v>
      </c>
      <c r="I40" s="16">
        <f>SUBTOTAL(109,Communications4[Column8])</f>
        <v>0</v>
      </c>
      <c r="J40" s="16">
        <f>SUBTOTAL(109,Communications4[Column9])</f>
        <v>0</v>
      </c>
      <c r="K40" s="16">
        <f>SUBTOTAL(109,Communications4[Column10])</f>
        <v>0</v>
      </c>
      <c r="L40" s="16">
        <f>SUBTOTAL(109,Communications4[Column11])</f>
        <v>0</v>
      </c>
      <c r="M40" s="16">
        <f>SUBTOTAL(109,Communications4[Column12])</f>
        <v>0</v>
      </c>
      <c r="N40" s="16">
        <f>IFERROR(AVERAGE(Communications4[[#Totals],[Column1]:[Column12]]),"")</f>
        <v>791.66666666666663</v>
      </c>
      <c r="O40" s="18">
        <f>SUBTOTAL(109,Communications4[Total])</f>
        <v>9500</v>
      </c>
      <c r="P40" s="17"/>
    </row>
    <row r="42" spans="1:16" ht="19" thickBot="1">
      <c r="A42" s="26" t="s">
        <v>47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>
      <c r="A43" s="2" t="s">
        <v>40</v>
      </c>
      <c r="B43" s="16">
        <v>3000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f>IFERROR(AVERAGE(Communications48[[#This Row],[Column1]:[Column12]]),"")</f>
        <v>3000</v>
      </c>
      <c r="O43" s="18">
        <f>SUM(Communications48[[#This Row],[Column1]:[Column12]])</f>
        <v>3000</v>
      </c>
      <c r="P43" s="1"/>
    </row>
    <row r="44" spans="1:16">
      <c r="A44" s="2" t="s">
        <v>41</v>
      </c>
      <c r="B44" s="16">
        <v>1500</v>
      </c>
      <c r="C44" s="16" t="s">
        <v>37</v>
      </c>
      <c r="D44" s="16" t="s">
        <v>37</v>
      </c>
      <c r="E44" s="16"/>
      <c r="F44" s="16"/>
      <c r="G44" s="16"/>
      <c r="H44" s="16"/>
      <c r="I44" s="16"/>
      <c r="J44" s="16"/>
      <c r="K44" s="16"/>
      <c r="L44" s="16"/>
      <c r="M44" s="16"/>
      <c r="N44" s="16">
        <f>IFERROR(AVERAGE(Communications48[[#This Row],[Column1]:[Column12]]),"")</f>
        <v>1500</v>
      </c>
      <c r="O44" s="18">
        <f>SUM(Communications48[[#This Row],[Column1]:[Column12]])</f>
        <v>1500</v>
      </c>
      <c r="P44" s="1"/>
    </row>
    <row r="45" spans="1:16" ht="32">
      <c r="A45" s="33" t="s">
        <v>46</v>
      </c>
      <c r="B45" s="16">
        <v>125</v>
      </c>
      <c r="C45" s="16">
        <v>125</v>
      </c>
      <c r="D45" s="16">
        <v>125</v>
      </c>
      <c r="E45" s="16">
        <v>125</v>
      </c>
      <c r="F45" s="16">
        <v>125</v>
      </c>
      <c r="G45" s="16">
        <v>125</v>
      </c>
      <c r="H45" s="16">
        <v>125</v>
      </c>
      <c r="I45" s="16">
        <v>125</v>
      </c>
      <c r="J45" s="16">
        <v>125</v>
      </c>
      <c r="K45" s="16">
        <v>125</v>
      </c>
      <c r="L45" s="16">
        <v>125</v>
      </c>
      <c r="M45" s="16">
        <v>125</v>
      </c>
      <c r="N45" s="16">
        <f>IFERROR(AVERAGE(Communications48[[#This Row],[Column1]:[Column12]]),"")</f>
        <v>125</v>
      </c>
      <c r="O45" s="18">
        <f>SUM(Communications48[[#This Row],[Column1]:[Column12]])</f>
        <v>1500</v>
      </c>
      <c r="P45" s="34"/>
    </row>
    <row r="46" spans="1:16">
      <c r="A46" s="2" t="s">
        <v>39</v>
      </c>
      <c r="B46" s="16">
        <f>SUBTOTAL(109,Communications48[Column1])</f>
        <v>4625</v>
      </c>
      <c r="C46" s="16">
        <f>SUBTOTAL(109,Communications48[Column2])</f>
        <v>125</v>
      </c>
      <c r="D46" s="16">
        <f>SUBTOTAL(109,Communications48[Column3])</f>
        <v>125</v>
      </c>
      <c r="E46" s="16">
        <f>SUBTOTAL(109,Communications48[Column4])</f>
        <v>125</v>
      </c>
      <c r="F46" s="16">
        <f>SUBTOTAL(109,Communications48[Column5])</f>
        <v>125</v>
      </c>
      <c r="G46" s="16">
        <f>SUBTOTAL(109,Communications48[Column6])</f>
        <v>125</v>
      </c>
      <c r="H46" s="16">
        <f>SUBTOTAL(109,Communications48[Column7])</f>
        <v>125</v>
      </c>
      <c r="I46" s="16">
        <f>SUBTOTAL(109,Communications48[Column8])</f>
        <v>125</v>
      </c>
      <c r="J46" s="16">
        <f>SUBTOTAL(109,Communications48[Column9])</f>
        <v>125</v>
      </c>
      <c r="K46" s="16">
        <f>SUBTOTAL(109,Communications48[Column10])</f>
        <v>125</v>
      </c>
      <c r="L46" s="16">
        <f>SUBTOTAL(109,Communications48[Column11])</f>
        <v>125</v>
      </c>
      <c r="M46" s="16">
        <f>SUBTOTAL(109,Communications48[Column12])</f>
        <v>125</v>
      </c>
      <c r="N46" s="16">
        <f>IFERROR(AVERAGE(Communications48[[#Totals],[Column1]:[Column12]]),"")</f>
        <v>500</v>
      </c>
      <c r="O46" s="18">
        <f>SUBTOTAL(109,Communications48[Total])</f>
        <v>6000</v>
      </c>
      <c r="P46" s="17"/>
    </row>
    <row r="47" spans="1:16">
      <c r="A47" s="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8"/>
      <c r="P47" s="17"/>
    </row>
    <row r="48" spans="1:16" ht="19" thickBot="1">
      <c r="A48" s="26" t="s">
        <v>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7">
      <c r="A49" s="2" t="s">
        <v>13</v>
      </c>
      <c r="B49" s="16">
        <v>521</v>
      </c>
      <c r="C49" s="16">
        <v>323</v>
      </c>
      <c r="D49" s="16">
        <v>274</v>
      </c>
      <c r="E49" s="16">
        <v>451</v>
      </c>
      <c r="F49" s="16">
        <v>104</v>
      </c>
      <c r="G49" s="16"/>
      <c r="H49" s="16"/>
      <c r="I49" s="16"/>
      <c r="J49" s="16"/>
      <c r="K49" s="16"/>
      <c r="L49" s="16"/>
      <c r="M49" s="16"/>
      <c r="N49" s="16">
        <f>IFERROR(AVERAGE(Other[[#This Row],[Column1]:[Column12]]),"")</f>
        <v>334.6</v>
      </c>
      <c r="O49" s="18">
        <f>SUM(Other[[#This Row],[Column1]:[Column12]])</f>
        <v>1673</v>
      </c>
      <c r="P49" s="1"/>
    </row>
    <row r="50" spans="1:17">
      <c r="A50" s="2" t="s">
        <v>14</v>
      </c>
      <c r="B50" s="16">
        <v>1</v>
      </c>
      <c r="C50" s="16">
        <v>1</v>
      </c>
      <c r="D50" s="16">
        <v>1</v>
      </c>
      <c r="E50" s="16">
        <v>1</v>
      </c>
      <c r="F50" s="16">
        <v>1</v>
      </c>
      <c r="G50" s="16"/>
      <c r="H50" s="16"/>
      <c r="I50" s="16"/>
      <c r="J50" s="16"/>
      <c r="K50" s="16"/>
      <c r="L50" s="16"/>
      <c r="M50" s="16"/>
      <c r="N50" s="16">
        <f>IFERROR(AVERAGE(Other[[#This Row],[Column1]:[Column12]]),"")</f>
        <v>1</v>
      </c>
      <c r="O50" s="18">
        <f>SUM(Other[[#This Row],[Column1]:[Column12]])</f>
        <v>5</v>
      </c>
      <c r="P50" s="1"/>
    </row>
    <row r="51" spans="1:17">
      <c r="A51" s="2" t="s">
        <v>15</v>
      </c>
      <c r="B51" s="16">
        <v>100</v>
      </c>
      <c r="C51" s="16">
        <v>100</v>
      </c>
      <c r="D51" s="16">
        <v>100</v>
      </c>
      <c r="E51" s="16">
        <v>100</v>
      </c>
      <c r="F51" s="16">
        <v>100</v>
      </c>
      <c r="G51" s="16"/>
      <c r="H51" s="16"/>
      <c r="I51" s="16"/>
      <c r="J51" s="16"/>
      <c r="K51" s="16"/>
      <c r="L51" s="16"/>
      <c r="M51" s="16"/>
      <c r="N51" s="16">
        <f>IFERROR(AVERAGE(Other[[#This Row],[Column1]:[Column12]]),"")</f>
        <v>100</v>
      </c>
      <c r="O51" s="18">
        <f>SUM(Other[[#This Row],[Column1]:[Column12]])</f>
        <v>500</v>
      </c>
      <c r="P51" s="1"/>
    </row>
    <row r="52" spans="1:17">
      <c r="A52" s="2" t="s">
        <v>18</v>
      </c>
      <c r="B52" s="16">
        <v>200</v>
      </c>
      <c r="C52" s="16">
        <v>300</v>
      </c>
      <c r="D52" s="16">
        <v>400</v>
      </c>
      <c r="E52" s="16">
        <v>500</v>
      </c>
      <c r="F52" s="16">
        <v>200</v>
      </c>
      <c r="G52" s="16"/>
      <c r="H52" s="16"/>
      <c r="I52" s="16"/>
      <c r="J52" s="16"/>
      <c r="K52" s="16"/>
      <c r="L52" s="16"/>
      <c r="M52" s="16"/>
      <c r="N52" s="16">
        <f>IFERROR(AVERAGE(Other[[#This Row],[Column1]:[Column12]]),"")</f>
        <v>320</v>
      </c>
      <c r="O52" s="18">
        <f>SUM(Other[[#This Row],[Column1]:[Column12]])</f>
        <v>1600</v>
      </c>
      <c r="P52" s="1"/>
    </row>
    <row r="53" spans="1:17">
      <c r="A53" s="2" t="s">
        <v>16</v>
      </c>
      <c r="B53" s="16">
        <f>SUBTOTAL(109,Other[Column1])</f>
        <v>822</v>
      </c>
      <c r="C53" s="16">
        <f>SUBTOTAL(109,Other[Column2])</f>
        <v>724</v>
      </c>
      <c r="D53" s="16">
        <f>SUBTOTAL(109,Other[Column3])</f>
        <v>775</v>
      </c>
      <c r="E53" s="16">
        <f>SUBTOTAL(109,Other[Column4])</f>
        <v>1052</v>
      </c>
      <c r="F53" s="16">
        <f>SUBTOTAL(109,Other[Column5])</f>
        <v>405</v>
      </c>
      <c r="G53" s="16">
        <f>SUBTOTAL(109,Other[Column6])</f>
        <v>0</v>
      </c>
      <c r="H53" s="16">
        <f>SUBTOTAL(109,Other[Column7])</f>
        <v>0</v>
      </c>
      <c r="I53" s="16">
        <f>SUBTOTAL(109,Other[Column8])</f>
        <v>0</v>
      </c>
      <c r="J53" s="16">
        <f>SUBTOTAL(109,Other[Column9])</f>
        <v>0</v>
      </c>
      <c r="K53" s="16">
        <f>SUBTOTAL(109,Other[Column10])</f>
        <v>0</v>
      </c>
      <c r="L53" s="16">
        <f>SUBTOTAL(109,Other[Column11])</f>
        <v>0</v>
      </c>
      <c r="M53" s="16">
        <f>SUBTOTAL(109,Other[Column12])</f>
        <v>0</v>
      </c>
      <c r="N53" s="16">
        <f>IFERROR(AVERAGE(Other[[#Totals],[Column1]:[Column12]]),"")</f>
        <v>314.83333333333331</v>
      </c>
      <c r="O53" s="18">
        <f>SUBTOTAL(109,Other[Total])</f>
        <v>3778</v>
      </c>
      <c r="P53" s="1"/>
    </row>
    <row r="55" spans="1:17">
      <c r="F55"/>
      <c r="P55" s="24"/>
    </row>
    <row r="56" spans="1:17">
      <c r="O56" s="24"/>
      <c r="Q56" s="24"/>
    </row>
    <row r="57" spans="1:17">
      <c r="O57" s="24"/>
      <c r="P57" s="24"/>
      <c r="Q57" s="24"/>
    </row>
    <row r="58" spans="1:17">
      <c r="O58" s="24"/>
      <c r="P58" s="24"/>
      <c r="Q58" s="24"/>
    </row>
    <row r="59" spans="1:17">
      <c r="O59" s="24"/>
      <c r="P59" s="24"/>
      <c r="Q59" s="24"/>
    </row>
    <row r="60" spans="1:17">
      <c r="O60" s="24"/>
      <c r="P60" s="24"/>
      <c r="Q60" s="24"/>
    </row>
    <row r="61" spans="1:17">
      <c r="O61" s="24"/>
      <c r="P61" s="24"/>
      <c r="Q61" s="24"/>
    </row>
  </sheetData>
  <mergeCells count="3">
    <mergeCell ref="A2:P2"/>
    <mergeCell ref="O3:P3"/>
    <mergeCell ref="O4:P4"/>
  </mergeCells>
  <conditionalFormatting sqref="B9:O9 O49:O52 O18:O19 N11:O14 N23:N32">
    <cfRule type="cellIs" dxfId="21" priority="15" operator="lessThan">
      <formula>0</formula>
    </cfRule>
  </conditionalFormatting>
  <conditionalFormatting sqref="N18:N19">
    <cfRule type="cellIs" dxfId="20" priority="5" operator="lessThan">
      <formula>0</formula>
    </cfRule>
  </conditionalFormatting>
  <conditionalFormatting sqref="N49:N52">
    <cfRule type="cellIs" dxfId="19" priority="3" operator="lessThan">
      <formula>0</formula>
    </cfRule>
  </conditionalFormatting>
  <conditionalFormatting sqref="N36:N39">
    <cfRule type="cellIs" dxfId="18" priority="2" operator="lessThan">
      <formula>0</formula>
    </cfRule>
  </conditionalFormatting>
  <conditionalFormatting sqref="N43:N45">
    <cfRule type="cellIs" dxfId="17" priority="1" operator="lessThan">
      <formula>0</formula>
    </cfRule>
  </conditionalFormatting>
  <pageMargins left="0.7" right="0.7" top="0.75" bottom="0.75" header="0.3" footer="0.3"/>
  <headerFooter>
    <evenFooter>&amp;LPrint Date: &amp;D&amp;RPage &amp;P of &amp;N</evenFooter>
  </headerFooter>
  <ignoredErrors>
    <ignoredError sqref="N8:O10" calculatedColumn="1"/>
    <ignoredError sqref="N48:N52 O48:O52 O11:O19 N11:N19 O41 N41 O20:O26 N20:N26" emptyCellReference="1" calculatedColumn="1"/>
  </ignoredErrors>
  <tableParts count="7">
    <tablePart r:id="rId1"/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 low="1" negative="1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'Marketing Budget Plan'!C46:N46</xm:f>
              <xm:sqref>P46</xm:sqref>
            </x14:sparkline>
            <x14:sparkline>
              <xm:f>'Marketing Budget Plan'!C47:N47</xm:f>
              <xm:sqref>P47</xm:sqref>
            </x14:sparkline>
          </x14:sparklines>
        </x14:sparklineGroup>
        <x14:sparklineGroup manualMax="0" manualMin="0" type="column" displayEmptyCellsAs="gap" high="1" low="1" negative="1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'Marketing Budget Plan'!B53:M53</xm:f>
              <xm:sqref>P53</xm:sqref>
            </x14:sparkline>
            <x14:sparkline>
              <xm:f>'Marketing Budget Plan'!B8:M8</xm:f>
              <xm:sqref>P8</xm:sqref>
            </x14:sparkline>
            <x14:sparkline>
              <xm:f>'Marketing Budget Plan'!B15:M15</xm:f>
              <xm:sqref>P15</xm:sqref>
            </x14:sparkline>
            <x14:sparkline>
              <xm:f>'Marketing Budget Plan'!B20:M20</xm:f>
              <xm:sqref>P20</xm:sqref>
            </x14:sparkline>
            <x14:sparkline>
              <xm:f>'Marketing Budget Plan'!C33:N33</xm:f>
              <xm:sqref>P33</xm:sqref>
            </x14:sparkline>
            <x14:sparkline>
              <xm:f>'Marketing Budget Plan'!C34:N34</xm:f>
              <xm:sqref>P34</xm:sqref>
            </x14:sparkline>
          </x14:sparklines>
        </x14:sparklineGroup>
        <x14:sparklineGroup manualMax="0" manualMin="0" type="column" displayEmptyCellsAs="gap" high="1" low="1" negative="1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'Marketing Budget Plan'!C40:N40</xm:f>
              <xm:sqref>P40</xm:sqref>
            </x14:sparkline>
          </x14:sparklines>
        </x14:sparklineGroup>
        <x14:sparklineGroup manualMax="0" manualMin="0" displayEmptyCellsAs="gap" high="1" low="1" negative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'Marketing Budget Plan'!C36:N36</xm:f>
              <xm:sqref>P36</xm:sqref>
            </x14:sparkline>
            <x14:sparkline>
              <xm:f>'Marketing Budget Plan'!C37:N37</xm:f>
              <xm:sqref>P37</xm:sqref>
            </x14:sparkline>
            <x14:sparkline>
              <xm:f>'Marketing Budget Plan'!C38:N38</xm:f>
              <xm:sqref>P38</xm:sqref>
            </x14:sparkline>
            <x14:sparkline>
              <xm:f>'Marketing Budget Plan'!C39:N39</xm:f>
              <xm:sqref>P39</xm:sqref>
            </x14:sparkline>
          </x14:sparklines>
        </x14:sparklineGroup>
        <x14:sparklineGroup manualMax="0" manualMin="0" displayEmptyCellsAs="gap" high="1" low="1" negative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'Marketing Budget Plan'!C43:N43</xm:f>
              <xm:sqref>P43</xm:sqref>
            </x14:sparkline>
            <x14:sparkline>
              <xm:f>'Marketing Budget Plan'!C44:N44</xm:f>
              <xm:sqref>P44</xm:sqref>
            </x14:sparkline>
            <x14:sparkline>
              <xm:f>'Marketing Budget Plan'!C45:N45</xm:f>
              <xm:sqref>P45</xm:sqref>
            </x14:sparkline>
          </x14:sparklines>
        </x14:sparklineGroup>
        <x14:sparklineGroup manualMax="0" manualMin="0" displayEmptyCellsAs="gap" high="1" low="1" negative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'Marketing Budget Plan'!B11:M11</xm:f>
              <xm:sqref>P11</xm:sqref>
            </x14:sparkline>
            <x14:sparkline>
              <xm:f>'Marketing Budget Plan'!B19:M19</xm:f>
              <xm:sqref>P19</xm:sqref>
            </x14:sparkline>
            <x14:sparkline>
              <xm:f>'Marketing Budget Plan'!B18:M18</xm:f>
              <xm:sqref>P18</xm:sqref>
            </x14:sparkline>
            <x14:sparkline>
              <xm:f>'Marketing Budget Plan'!B14:M14</xm:f>
              <xm:sqref>P14</xm:sqref>
            </x14:sparkline>
            <x14:sparkline>
              <xm:f>'Marketing Budget Plan'!B13:M13</xm:f>
              <xm:sqref>P13</xm:sqref>
            </x14:sparkline>
            <x14:sparkline>
              <xm:f>'Marketing Budget Plan'!B12:M12</xm:f>
              <xm:sqref>P12</xm:sqref>
            </x14:sparkline>
            <x14:sparkline>
              <xm:f>'Marketing Budget Plan'!C23:N23</xm:f>
              <xm:sqref>P23</xm:sqref>
            </x14:sparkline>
            <x14:sparkline>
              <xm:f>'Marketing Budget Plan'!C24:N24</xm:f>
              <xm:sqref>P24</xm:sqref>
            </x14:sparkline>
            <x14:sparkline>
              <xm:f>'Marketing Budget Plan'!C25:N25</xm:f>
              <xm:sqref>P25</xm:sqref>
            </x14:sparkline>
            <x14:sparkline>
              <xm:f>'Marketing Budget Plan'!C26:N26</xm:f>
              <xm:sqref>P26</xm:sqref>
            </x14:sparkline>
            <x14:sparkline>
              <xm:f>'Marketing Budget Plan'!C27:N27</xm:f>
              <xm:sqref>P27</xm:sqref>
            </x14:sparkline>
            <x14:sparkline>
              <xm:f>'Marketing Budget Plan'!C28:N28</xm:f>
              <xm:sqref>P28</xm:sqref>
            </x14:sparkline>
            <x14:sparkline>
              <xm:f>'Marketing Budget Plan'!C29:N29</xm:f>
              <xm:sqref>P29</xm:sqref>
            </x14:sparkline>
            <x14:sparkline>
              <xm:f>'Marketing Budget Plan'!C30:N30</xm:f>
              <xm:sqref>P30</xm:sqref>
            </x14:sparkline>
            <x14:sparkline>
              <xm:f>'Marketing Budget Plan'!C31:N31</xm:f>
              <xm:sqref>P31</xm:sqref>
            </x14:sparkline>
            <x14:sparkline>
              <xm:f>'Marketing Budget Plan'!C32:N32</xm:f>
              <xm:sqref>P32</xm:sqref>
            </x14:sparkline>
            <x14:sparkline>
              <xm:f>'Marketing Budget Plan'!B49:M49</xm:f>
              <xm:sqref>P49</xm:sqref>
            </x14:sparkline>
            <x14:sparkline>
              <xm:f>'Marketing Budget Plan'!B50:M50</xm:f>
              <xm:sqref>P50</xm:sqref>
            </x14:sparkline>
            <x14:sparkline>
              <xm:f>'Marketing Budget Plan'!B51:M51</xm:f>
              <xm:sqref>P51</xm:sqref>
            </x14:sparkline>
            <x14:sparkline>
              <xm:f>'Marketing Budget Plan'!B52:M52</xm:f>
              <xm:sqref>P52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Marketing Budget Plan</vt:lpstr>
      <vt:lpstr>Chart1</vt:lpstr>
      <vt:lpstr>Chart2</vt:lpstr>
      <vt:lpstr>Chart3</vt:lpstr>
      <vt:lpstr>Chart4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Thompson</cp:lastModifiedBy>
  <cp:lastPrinted>2010-04-09T18:03:12Z</cp:lastPrinted>
  <dcterms:created xsi:type="dcterms:W3CDTF">2010-04-05T15:18:52Z</dcterms:created>
  <dcterms:modified xsi:type="dcterms:W3CDTF">2014-06-29T21:15:59Z</dcterms:modified>
  <cp:category/>
</cp:coreProperties>
</file>